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D91B458-3BD1-4E7D-BB38-5F409DF762C9}" xr6:coauthVersionLast="47" xr6:coauthVersionMax="47" xr10:uidLastSave="{00000000-0000-0000-0000-000000000000}"/>
  <bookViews>
    <workbookView xWindow="-108" yWindow="-108" windowWidth="23256" windowHeight="12456" tabRatio="703" activeTab="2" xr2:uid="{5FDE2D6B-DBAE-4C8D-8B65-2F29287D5104}"/>
  </bookViews>
  <sheets>
    <sheet name="Условия работы" sheetId="9" r:id="rId1"/>
    <sheet name="Калькулятор" sheetId="18" r:id="rId2"/>
    <sheet name="Предзаказ_осень2026" sheetId="19" r:id="rId3"/>
  </sheets>
  <externalReferences>
    <externalReference r:id="rId4"/>
    <externalReference r:id="rId5"/>
    <externalReference r:id="rId6"/>
    <externalReference r:id="rId7"/>
  </externalReferences>
  <definedNames>
    <definedName name="_16_неделя_2021" localSheetId="2">#REF!</definedName>
    <definedName name="_16_неделя_2021">#REF!</definedName>
    <definedName name="_xlnm._FilterDatabase" localSheetId="2" hidden="1">Предзаказ_осень2026!$B$20:$AF$198</definedName>
    <definedName name="ALVPRX" localSheetId="2">#REF!</definedName>
    <definedName name="ALVPRX">#REF!</definedName>
    <definedName name="art" localSheetId="2">#REF!</definedName>
    <definedName name="art">#REF!</definedName>
    <definedName name="ast" localSheetId="2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OMPALV">#REF!</definedName>
    <definedName name="dost">#REF!</definedName>
    <definedName name="Excel_BuiltIn_Print_Area_2">#REF!</definedName>
    <definedName name="Excel_BuiltIn_Print_Area_2_1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 localSheetId="2">#REF!</definedName>
    <definedName name="five">#REF!</definedName>
    <definedName name="ger" localSheetId="2">#REF!</definedName>
    <definedName name="ger">#REF!</definedName>
    <definedName name="hg" localSheetId="2">#REF!</definedName>
    <definedName name="hg">#REF!</definedName>
    <definedName name="hgn">#REF!</definedName>
    <definedName name="hoog">#REF!</definedName>
    <definedName name="hug">#REF!</definedName>
    <definedName name="hugeh">#REF!</definedName>
    <definedName name="hugen">#REF!</definedName>
    <definedName name="hugenhgn">#REF!</definedName>
    <definedName name="hugg">#REF!</definedName>
    <definedName name="huggen">#REF!</definedName>
    <definedName name="huggg">#REF!</definedName>
    <definedName name="huhughug">#REF!</definedName>
    <definedName name="HYDNUM">#REF!</definedName>
    <definedName name="klast">#REF!</definedName>
    <definedName name="klient">#REF!</definedName>
    <definedName name="lodold">#REF!</definedName>
    <definedName name="neg">#REF!</definedName>
    <definedName name="negot">#REF!</definedName>
    <definedName name="newheko">'[2]рабочий 2022'!$A$10:$L$1012</definedName>
    <definedName name="newhugen" localSheetId="2">#REF!</definedName>
    <definedName name="newhugen">#REF!</definedName>
    <definedName name="nid" localSheetId="2">#REF!</definedName>
    <definedName name="nid">#REF!</definedName>
    <definedName name="nl" localSheetId="2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PDXCOMP">#REF!</definedName>
    <definedName name="PDXSPR">[3]PDX!#REF!</definedName>
    <definedName name="peon" localSheetId="2">#REF!</definedName>
    <definedName name="peon">#REF!</definedName>
    <definedName name="peon2" localSheetId="2">#REF!</definedName>
    <definedName name="peon2">#REF!</definedName>
    <definedName name="peonn">[4]Лист2!$A$1:$IV$65536</definedName>
    <definedName name="pion" localSheetId="2">#REF!</definedName>
    <definedName name="pion">#REF!</definedName>
    <definedName name="pionn" localSheetId="2">#REF!</definedName>
    <definedName name="pionn">#REF!</definedName>
    <definedName name="pips" localSheetId="2">#REF!</definedName>
    <definedName name="pips">#REF!</definedName>
    <definedName name="piu">#REF!</definedName>
    <definedName name="ppp">#REF!</definedName>
    <definedName name="price">#REF!</definedName>
    <definedName name="prov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>#REF!</definedName>
    <definedName name="stk">#REF!</definedName>
    <definedName name="stock">#REF!</definedName>
    <definedName name="stock_">#REF!</definedName>
    <definedName name="stok">#REF!</definedName>
    <definedName name="stst">#REF!</definedName>
    <definedName name="tab">#REF!</definedName>
    <definedName name="tabhug">#REF!</definedName>
    <definedName name="table">#REF!</definedName>
    <definedName name="table1">#REF!</definedName>
    <definedName name="table101">#REF!</definedName>
    <definedName name="table11">#REF!</definedName>
    <definedName name="tabletab">#REF!</definedName>
    <definedName name="tabt">#REF!</definedName>
    <definedName name="tabtab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Склады" localSheetId="2">#REF!</definedName>
    <definedName name="Склады" localSheetId="0">#REF!</definedName>
    <definedName name="Склады">#REF!</definedName>
    <definedName name="условия" localSheetId="2">#REF!</definedName>
    <definedName name="условия" localSheetId="0">#REF!</definedName>
    <definedName name="условия">#REF!</definedName>
    <definedName name="ыещл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" i="19" l="1"/>
  <c r="Z190" i="19"/>
  <c r="Z182" i="19"/>
  <c r="Z162" i="19"/>
  <c r="Z161" i="19"/>
  <c r="Z158" i="19"/>
  <c r="Z157" i="19"/>
  <c r="Z142" i="19"/>
  <c r="Z133" i="19"/>
  <c r="Z130" i="19"/>
  <c r="Z129" i="19"/>
  <c r="Z126" i="19"/>
  <c r="Z113" i="19"/>
  <c r="Z90" i="19"/>
  <c r="Z89" i="19"/>
  <c r="Z85" i="19"/>
  <c r="Z66" i="19"/>
  <c r="Z58" i="19"/>
  <c r="Z128" i="19"/>
  <c r="Z127" i="19"/>
  <c r="Z116" i="19"/>
  <c r="Z124" i="19"/>
  <c r="Z98" i="19"/>
  <c r="Z97" i="19"/>
  <c r="Z96" i="19"/>
  <c r="Z95" i="19"/>
  <c r="Z91" i="19"/>
  <c r="Z92" i="19"/>
  <c r="Z22" i="19"/>
  <c r="Z23" i="19"/>
  <c r="Z24" i="19"/>
  <c r="Z25" i="19"/>
  <c r="Z26" i="19"/>
  <c r="Z27" i="19"/>
  <c r="Z28" i="19"/>
  <c r="Z160" i="19"/>
  <c r="Z187" i="19"/>
  <c r="Z186" i="19"/>
  <c r="Z183" i="19"/>
  <c r="Z184" i="19"/>
  <c r="Z181" i="19"/>
  <c r="Z172" i="19"/>
  <c r="AF172" i="19"/>
  <c r="Z195" i="19"/>
  <c r="Z198" i="19"/>
  <c r="Z189" i="19"/>
  <c r="Z159" i="19"/>
  <c r="Z136" i="19"/>
  <c r="Z139" i="19"/>
  <c r="Z131" i="19"/>
  <c r="Z115" i="19"/>
  <c r="Z114" i="19"/>
  <c r="Z112" i="19"/>
  <c r="Z106" i="19"/>
  <c r="Z105" i="19"/>
  <c r="Z78" i="19"/>
  <c r="Z84" i="19"/>
  <c r="Z56" i="19"/>
  <c r="Z57" i="19"/>
  <c r="Z55" i="19"/>
  <c r="Z73" i="19"/>
  <c r="Z72" i="19"/>
  <c r="Z67" i="19"/>
  <c r="Z68" i="19"/>
  <c r="AF22" i="19"/>
  <c r="AF23" i="19"/>
  <c r="AF24" i="19"/>
  <c r="AF25" i="19"/>
  <c r="AF26" i="19"/>
  <c r="AF27" i="19"/>
  <c r="AF28" i="19"/>
  <c r="Z48" i="19"/>
  <c r="Z44" i="19"/>
  <c r="Z37" i="19"/>
  <c r="AF197" i="19" l="1"/>
  <c r="AF196" i="19"/>
  <c r="AF194" i="19"/>
  <c r="AF193" i="19"/>
  <c r="AF192" i="19"/>
  <c r="AF191" i="19"/>
  <c r="AF188" i="19"/>
  <c r="AF185" i="19"/>
  <c r="AF180" i="19"/>
  <c r="AF178" i="19"/>
  <c r="AF177" i="19"/>
  <c r="AF175" i="19"/>
  <c r="AF179" i="19"/>
  <c r="AF176" i="19"/>
  <c r="AF174" i="19"/>
  <c r="AF173" i="19"/>
  <c r="AF171" i="19"/>
  <c r="AF170" i="19"/>
  <c r="AF169" i="19"/>
  <c r="AF168" i="19"/>
  <c r="AF167" i="19"/>
  <c r="AF166" i="19"/>
  <c r="AF165" i="19"/>
  <c r="AF164" i="19"/>
  <c r="AF163" i="19"/>
  <c r="AF156" i="19"/>
  <c r="AF155" i="19"/>
  <c r="AF154" i="19"/>
  <c r="AF153" i="19"/>
  <c r="AF152" i="19"/>
  <c r="AF151" i="19"/>
  <c r="AF150" i="19"/>
  <c r="AF149" i="19"/>
  <c r="AF148" i="19"/>
  <c r="AF147" i="19"/>
  <c r="AF146" i="19"/>
  <c r="AF145" i="19"/>
  <c r="AF144" i="19"/>
  <c r="AF143" i="19"/>
  <c r="AF140" i="19"/>
  <c r="AF141" i="19"/>
  <c r="AF138" i="19"/>
  <c r="AF137" i="19"/>
  <c r="AF135" i="19"/>
  <c r="AF134" i="19"/>
  <c r="AF132" i="19"/>
  <c r="AF130" i="19"/>
  <c r="AF129" i="19"/>
  <c r="AF125" i="19"/>
  <c r="AF123" i="19"/>
  <c r="AF122" i="19"/>
  <c r="AF121" i="19"/>
  <c r="AF120" i="19"/>
  <c r="AF119" i="19"/>
  <c r="AF118" i="19"/>
  <c r="AF117" i="19"/>
  <c r="AF111" i="19"/>
  <c r="AF110" i="19"/>
  <c r="AF109" i="19"/>
  <c r="AF108" i="19"/>
  <c r="AF107" i="19"/>
  <c r="AF104" i="19"/>
  <c r="AF103" i="19"/>
  <c r="AF102" i="19"/>
  <c r="AF101" i="19"/>
  <c r="AF100" i="19"/>
  <c r="AF99" i="19"/>
  <c r="AF94" i="19"/>
  <c r="AF93" i="19"/>
  <c r="AF88" i="19"/>
  <c r="AF87" i="19"/>
  <c r="AF86" i="19"/>
  <c r="AF83" i="19"/>
  <c r="AF82" i="19"/>
  <c r="AF81" i="19"/>
  <c r="AF80" i="19"/>
  <c r="AF79" i="19"/>
  <c r="AF77" i="19"/>
  <c r="AF76" i="19"/>
  <c r="AF75" i="19"/>
  <c r="AF74" i="19"/>
  <c r="AF71" i="19"/>
  <c r="AF70" i="19"/>
  <c r="AF69" i="19"/>
  <c r="AF65" i="19"/>
  <c r="AF64" i="19"/>
  <c r="AF63" i="19"/>
  <c r="AF62" i="19"/>
  <c r="AF61" i="19"/>
  <c r="AF60" i="19"/>
  <c r="AF59" i="19"/>
  <c r="AF54" i="19"/>
  <c r="AF53" i="19"/>
  <c r="AF52" i="19"/>
  <c r="AF51" i="19"/>
  <c r="AF50" i="19"/>
  <c r="AF49" i="19"/>
  <c r="AF47" i="19"/>
  <c r="AF46" i="19"/>
  <c r="AF45" i="19"/>
  <c r="AF43" i="19"/>
  <c r="AF42" i="19"/>
  <c r="AF41" i="19"/>
  <c r="AF40" i="19"/>
  <c r="AF39" i="19"/>
  <c r="AF38" i="19"/>
  <c r="AF36" i="19"/>
  <c r="AF35" i="19"/>
  <c r="AF34" i="19"/>
  <c r="AF33" i="19"/>
  <c r="AF32" i="19"/>
  <c r="AF31" i="19"/>
  <c r="AF30" i="19"/>
  <c r="AF29" i="19"/>
  <c r="Z143" i="19" l="1"/>
  <c r="Z144" i="19"/>
  <c r="Z45" i="19"/>
  <c r="Z46" i="19"/>
  <c r="Z47" i="19"/>
  <c r="Z77" i="19"/>
  <c r="Z29" i="19" l="1"/>
  <c r="Z30" i="19"/>
  <c r="Z31" i="19"/>
  <c r="Z32" i="19"/>
  <c r="Z33" i="19"/>
  <c r="Z34" i="19"/>
  <c r="Z35" i="19"/>
  <c r="Z36" i="19"/>
  <c r="Z38" i="19"/>
  <c r="Z39" i="19"/>
  <c r="Z40" i="19"/>
  <c r="Z41" i="19"/>
  <c r="Z42" i="19"/>
  <c r="Z43" i="19"/>
  <c r="Z49" i="19"/>
  <c r="Z50" i="19"/>
  <c r="Z51" i="19"/>
  <c r="Z52" i="19"/>
  <c r="Z53" i="19"/>
  <c r="Z54" i="19"/>
  <c r="Z59" i="19"/>
  <c r="Z60" i="19"/>
  <c r="Z61" i="19"/>
  <c r="Z62" i="19"/>
  <c r="Z63" i="19"/>
  <c r="Z64" i="19"/>
  <c r="Z65" i="19"/>
  <c r="Z69" i="19"/>
  <c r="Z70" i="19"/>
  <c r="Z71" i="19"/>
  <c r="Z74" i="19"/>
  <c r="Z75" i="19"/>
  <c r="Z76" i="19"/>
  <c r="Z79" i="19"/>
  <c r="Z80" i="19"/>
  <c r="Z81" i="19"/>
  <c r="Z82" i="19"/>
  <c r="Z83" i="19"/>
  <c r="Z86" i="19"/>
  <c r="Z87" i="19"/>
  <c r="Z88" i="19"/>
  <c r="Z93" i="19"/>
  <c r="Z94" i="19"/>
  <c r="Z99" i="19"/>
  <c r="Z100" i="19"/>
  <c r="Z101" i="19"/>
  <c r="Z102" i="19"/>
  <c r="Z103" i="19"/>
  <c r="Z104" i="19"/>
  <c r="Z107" i="19"/>
  <c r="Z108" i="19"/>
  <c r="Z109" i="19"/>
  <c r="Z110" i="19"/>
  <c r="Z111" i="19"/>
  <c r="Z117" i="19"/>
  <c r="Z118" i="19"/>
  <c r="Z119" i="19"/>
  <c r="Z120" i="19"/>
  <c r="Z121" i="19"/>
  <c r="Z122" i="19"/>
  <c r="Z123" i="19"/>
  <c r="Z125" i="19"/>
  <c r="Z132" i="19"/>
  <c r="Z134" i="19"/>
  <c r="Z135" i="19"/>
  <c r="Z137" i="19"/>
  <c r="Z138" i="19"/>
  <c r="Z141" i="19"/>
  <c r="Z140" i="19"/>
  <c r="Z145" i="19"/>
  <c r="Z146" i="19"/>
  <c r="Z147" i="19"/>
  <c r="Z148" i="19"/>
  <c r="Z149" i="19"/>
  <c r="Z150" i="19"/>
  <c r="Z151" i="19"/>
  <c r="Z152" i="19"/>
  <c r="Z153" i="19"/>
  <c r="Z154" i="19"/>
  <c r="Z155" i="19"/>
  <c r="Z156" i="19"/>
  <c r="Z163" i="19"/>
  <c r="Z164" i="19"/>
  <c r="Z165" i="19"/>
  <c r="Z166" i="19"/>
  <c r="Z167" i="19"/>
  <c r="Z168" i="19"/>
  <c r="Z169" i="19"/>
  <c r="Z170" i="19"/>
  <c r="Z171" i="19"/>
  <c r="Z173" i="19"/>
  <c r="Z174" i="19"/>
  <c r="Z176" i="19"/>
  <c r="Z179" i="19"/>
  <c r="Z175" i="19"/>
  <c r="Z177" i="19"/>
  <c r="Z178" i="19"/>
  <c r="Z180" i="19"/>
  <c r="Z185" i="19"/>
  <c r="Z188" i="19"/>
  <c r="Z191" i="19"/>
  <c r="Z192" i="19"/>
  <c r="Z193" i="19"/>
  <c r="Z194" i="19"/>
  <c r="Z196" i="19"/>
  <c r="Z197" i="19"/>
  <c r="B9" i="18" l="1"/>
  <c r="B2" i="18" l="1"/>
  <c r="K59" i="18" l="1"/>
  <c r="L59" i="18" s="1"/>
  <c r="K60" i="18"/>
  <c r="L60" i="18" s="1"/>
  <c r="K61" i="18"/>
  <c r="L61" i="18" s="1"/>
  <c r="K62" i="18"/>
  <c r="L62" i="18" s="1"/>
  <c r="K63" i="18"/>
  <c r="L63" i="18" s="1"/>
  <c r="K54" i="18"/>
  <c r="L54" i="18" s="1"/>
  <c r="K55" i="18"/>
  <c r="L55" i="18" s="1"/>
  <c r="K56" i="18"/>
  <c r="L56" i="18" s="1"/>
  <c r="K80" i="18"/>
  <c r="L80" i="18" s="1"/>
  <c r="K49" i="18"/>
  <c r="L49" i="18" s="1"/>
  <c r="K50" i="18"/>
  <c r="L50" i="18" s="1"/>
  <c r="K51" i="18"/>
  <c r="L51" i="18" s="1"/>
  <c r="K52" i="18"/>
  <c r="P52" i="18" s="1"/>
  <c r="K53" i="18"/>
  <c r="L53" i="18" s="1"/>
  <c r="K57" i="18"/>
  <c r="L57" i="18" s="1"/>
  <c r="K58" i="18"/>
  <c r="P58" i="18" s="1"/>
  <c r="K64" i="18"/>
  <c r="L64" i="18" s="1"/>
  <c r="K65" i="18"/>
  <c r="L65" i="18" s="1"/>
  <c r="K66" i="18"/>
  <c r="L66" i="18" s="1"/>
  <c r="K67" i="18"/>
  <c r="L67" i="18" s="1"/>
  <c r="K68" i="18"/>
  <c r="L68" i="18" s="1"/>
  <c r="K69" i="18"/>
  <c r="L69" i="18" s="1"/>
  <c r="K70" i="18"/>
  <c r="L70" i="18" s="1"/>
  <c r="K71" i="18"/>
  <c r="L71" i="18" s="1"/>
  <c r="K72" i="18"/>
  <c r="L72" i="18" s="1"/>
  <c r="K73" i="18"/>
  <c r="L73" i="18" s="1"/>
  <c r="K74" i="18"/>
  <c r="L74" i="18" s="1"/>
  <c r="K75" i="18"/>
  <c r="L75" i="18" s="1"/>
  <c r="K76" i="18"/>
  <c r="L76" i="18" s="1"/>
  <c r="K77" i="18"/>
  <c r="L77" i="18" s="1"/>
  <c r="K78" i="18"/>
  <c r="L78" i="18" s="1"/>
  <c r="K79" i="18"/>
  <c r="L79" i="18" s="1"/>
  <c r="K81" i="18"/>
  <c r="L81" i="18" s="1"/>
  <c r="L58" i="18" l="1"/>
  <c r="P64" i="18"/>
  <c r="L52" i="18"/>
  <c r="B6" i="18"/>
  <c r="K82" i="18" l="1"/>
  <c r="R81" i="18"/>
  <c r="N65" i="18"/>
  <c r="N63" i="18"/>
  <c r="N61" i="18"/>
  <c r="N57" i="18"/>
  <c r="N53" i="18"/>
  <c r="N51" i="18"/>
  <c r="K48" i="18"/>
  <c r="K47" i="18"/>
  <c r="K46" i="18"/>
  <c r="K45" i="18"/>
  <c r="K44" i="18"/>
  <c r="K43" i="18"/>
  <c r="L43" i="18" s="1"/>
  <c r="K42" i="18"/>
  <c r="N45" i="18" l="1"/>
  <c r="L45" i="18"/>
  <c r="N46" i="18"/>
  <c r="L46" i="18"/>
  <c r="N47" i="18"/>
  <c r="L47" i="18"/>
  <c r="N44" i="18"/>
  <c r="L44" i="18"/>
  <c r="N48" i="18"/>
  <c r="L48" i="18"/>
  <c r="R82" i="18"/>
  <c r="L82" i="18"/>
  <c r="N74" i="18"/>
  <c r="R74" i="18"/>
  <c r="C19" i="18" l="1"/>
  <c r="N123" i="18"/>
  <c r="C22" i="18"/>
  <c r="Q81" i="18" l="1"/>
  <c r="Q82" i="18"/>
  <c r="P50" i="18"/>
  <c r="L42" i="18"/>
  <c r="M42" i="18"/>
  <c r="Q83" i="18" l="1"/>
  <c r="Q85" i="18" s="1"/>
  <c r="P83" i="18"/>
  <c r="N83" i="18"/>
  <c r="N85" i="18" l="1"/>
  <c r="N86" i="18"/>
  <c r="Q86" i="18"/>
  <c r="P86" i="18"/>
  <c r="P85" i="18"/>
  <c r="M43" i="18"/>
  <c r="M83" i="18" s="1"/>
  <c r="M85" i="18" s="1"/>
  <c r="K83" i="18"/>
  <c r="R85" i="18" l="1"/>
  <c r="B23" i="18" s="1"/>
  <c r="B25" i="18" s="1"/>
  <c r="L83" i="18"/>
  <c r="K123" i="18" s="1"/>
  <c r="M86" i="18"/>
  <c r="R86" i="18" l="1"/>
  <c r="L123" i="18" s="1"/>
  <c r="M123" i="18" s="1"/>
  <c r="O123" i="18" s="1"/>
  <c r="R87" i="18" l="1"/>
  <c r="B24" i="18" s="1"/>
  <c r="B26" i="18" l="1"/>
  <c r="Z19" i="19" l="1"/>
  <c r="AA48" i="19" l="1"/>
  <c r="AA112" i="19"/>
  <c r="AA26" i="19"/>
  <c r="AA56" i="19"/>
  <c r="AA195" i="19"/>
  <c r="AA91" i="19"/>
  <c r="AA85" i="19"/>
  <c r="AA158" i="19"/>
  <c r="AA27" i="19"/>
  <c r="AA28" i="19"/>
  <c r="AA37" i="19"/>
  <c r="AA105" i="19"/>
  <c r="AA172" i="19"/>
  <c r="AA96" i="19"/>
  <c r="AA136" i="19"/>
  <c r="AA25" i="19"/>
  <c r="AA186" i="19"/>
  <c r="AA162" i="19"/>
  <c r="AA66" i="19"/>
  <c r="AA182" i="19"/>
  <c r="AA89" i="19"/>
  <c r="AA189" i="19"/>
  <c r="AA124" i="19"/>
  <c r="AA67" i="19"/>
  <c r="AA58" i="19"/>
  <c r="AA44" i="19"/>
  <c r="AA106" i="19"/>
  <c r="AA183" i="19"/>
  <c r="AA127" i="19"/>
  <c r="AA113" i="19"/>
  <c r="AA159" i="19"/>
  <c r="AA23" i="19"/>
  <c r="AA24" i="19"/>
  <c r="AA72" i="19"/>
  <c r="AA114" i="19"/>
  <c r="AA181" i="19"/>
  <c r="AA97" i="19"/>
  <c r="AA198" i="19"/>
  <c r="AA92" i="19"/>
  <c r="AA84" i="19"/>
  <c r="AA142" i="19"/>
  <c r="AA157" i="19"/>
  <c r="AA161" i="19"/>
  <c r="AA78" i="19"/>
  <c r="AA95" i="19"/>
  <c r="AA187" i="19"/>
  <c r="AA55" i="19"/>
  <c r="AA90" i="19"/>
  <c r="AA68" i="19"/>
  <c r="AA115" i="19"/>
  <c r="AA160" i="19"/>
  <c r="AA128" i="19"/>
  <c r="AA131" i="19"/>
  <c r="AA190" i="19"/>
  <c r="AA133" i="19"/>
  <c r="AA126" i="19"/>
  <c r="AA57" i="19"/>
  <c r="AA139" i="19"/>
  <c r="AA22" i="19"/>
  <c r="AA98" i="19"/>
  <c r="AA184" i="19"/>
  <c r="AA116" i="19"/>
  <c r="AA73" i="19"/>
  <c r="AA46" i="19"/>
  <c r="AA45" i="19"/>
  <c r="AA77" i="19"/>
  <c r="AA144" i="19"/>
  <c r="AA47" i="19"/>
  <c r="AA143" i="19"/>
  <c r="AA175" i="19"/>
  <c r="AA197" i="19"/>
  <c r="AA173" i="19"/>
  <c r="AA150" i="19"/>
  <c r="AA132" i="19"/>
  <c r="AA104" i="19"/>
  <c r="AA71" i="19"/>
  <c r="AA40" i="19"/>
  <c r="AA147" i="19"/>
  <c r="AA119" i="19"/>
  <c r="AA99" i="19"/>
  <c r="AA60" i="19"/>
  <c r="AA34" i="19"/>
  <c r="AA135" i="19"/>
  <c r="AA102" i="19"/>
  <c r="AA79" i="19"/>
  <c r="AA42" i="19"/>
  <c r="AA194" i="19"/>
  <c r="AA193" i="19"/>
  <c r="AA168" i="19"/>
  <c r="AA154" i="19"/>
  <c r="AA134" i="19"/>
  <c r="AA111" i="19"/>
  <c r="AA82" i="19"/>
  <c r="AA65" i="19"/>
  <c r="AA54" i="19"/>
  <c r="AA32" i="19"/>
  <c r="AA164" i="19"/>
  <c r="AA192" i="19"/>
  <c r="AA166" i="19"/>
  <c r="AA149" i="19"/>
  <c r="AA121" i="19"/>
  <c r="AA100" i="19"/>
  <c r="AA61" i="19"/>
  <c r="AA35" i="19"/>
  <c r="AA146" i="19"/>
  <c r="AA118" i="19"/>
  <c r="AA86" i="19"/>
  <c r="AA52" i="19"/>
  <c r="AA30" i="19"/>
  <c r="AA129" i="19"/>
  <c r="AA94" i="19"/>
  <c r="AA69" i="19"/>
  <c r="AA38" i="19"/>
  <c r="AA196" i="19"/>
  <c r="AA170" i="19"/>
  <c r="AA185" i="19"/>
  <c r="AA167" i="19"/>
  <c r="AA153" i="19"/>
  <c r="AA125" i="19"/>
  <c r="AA107" i="19"/>
  <c r="AA76" i="19"/>
  <c r="AA64" i="19"/>
  <c r="AA50" i="19"/>
  <c r="AA188" i="19"/>
  <c r="AA180" i="19"/>
  <c r="AA165" i="19"/>
  <c r="AA148" i="19"/>
  <c r="AA120" i="19"/>
  <c r="AA87" i="19"/>
  <c r="AA53" i="19"/>
  <c r="AA31" i="19"/>
  <c r="AA137" i="19"/>
  <c r="AA109" i="19"/>
  <c r="AA80" i="19"/>
  <c r="AA43" i="19"/>
  <c r="AA191" i="19"/>
  <c r="AA117" i="19"/>
  <c r="AA93" i="19"/>
  <c r="AA59" i="19"/>
  <c r="AA33" i="19"/>
  <c r="AA179" i="19"/>
  <c r="AA163" i="19"/>
  <c r="AA174" i="19"/>
  <c r="AA156" i="19"/>
  <c r="AA152" i="19"/>
  <c r="AA123" i="19"/>
  <c r="AA101" i="19"/>
  <c r="AA75" i="19"/>
  <c r="AA63" i="19"/>
  <c r="AA41" i="19"/>
  <c r="AA176" i="19"/>
  <c r="AA178" i="19"/>
  <c r="AA151" i="19"/>
  <c r="AA138" i="19"/>
  <c r="AA110" i="19"/>
  <c r="AA81" i="19"/>
  <c r="AA49" i="19"/>
  <c r="AA177" i="19"/>
  <c r="AA130" i="19"/>
  <c r="AA103" i="19"/>
  <c r="AA70" i="19"/>
  <c r="AA39" i="19"/>
  <c r="AA140" i="19"/>
  <c r="AA108" i="19"/>
  <c r="AA83" i="19"/>
  <c r="AA51" i="19"/>
  <c r="AA29" i="19"/>
  <c r="AA171" i="19"/>
  <c r="AA145" i="19"/>
  <c r="AA169" i="19"/>
  <c r="AA155" i="19"/>
  <c r="AA141" i="19"/>
  <c r="AA122" i="19"/>
  <c r="AA88" i="19"/>
  <c r="AA74" i="19"/>
  <c r="AA62" i="19"/>
  <c r="AA36" i="19"/>
  <c r="U16" i="19" l="1"/>
  <c r="AA16" i="19" s="1"/>
  <c r="B3" i="18" l="1"/>
  <c r="G10" i="18" s="1"/>
  <c r="B11" i="18" s="1"/>
  <c r="T16" i="19"/>
  <c r="B10" i="18" l="1"/>
  <c r="B12" i="18" s="1"/>
  <c r="B29" i="18" s="1"/>
  <c r="G11" i="18"/>
  <c r="G12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O34" authorId="0" shapeId="0" xr:uid="{07F84B02-CDB8-44E6-9AAB-50D98F0132E0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35" authorId="0" shapeId="0" xr:uid="{7104FDD5-12CB-4B30-9B1F-07EAB427E24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41" authorId="0" shapeId="0" xr:uid="{FAE68C94-A172-42E8-BF05-5DD7D9C771F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42" authorId="0" shapeId="0" xr:uid="{42656CDF-2A9F-4872-ACC5-6EC0F0090D3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51" authorId="0" shapeId="0" xr:uid="{9E434BCB-891C-4815-8DA3-051243FC778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53" authorId="0" shapeId="0" xr:uid="{2F13BB7C-204A-407A-8FF8-759687996F4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54" authorId="0" shapeId="0" xr:uid="{4A260BB7-1844-49F0-A497-571D7CE3236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80" authorId="0" shapeId="0" xr:uid="{83802420-EAD7-407E-8F8C-D6223FF575A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94" authorId="0" shapeId="0" xr:uid="{080E4C80-8E00-4363-9AEC-5DBF691DE24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99" authorId="0" shapeId="0" xr:uid="{054FD1E6-76CE-4105-AC38-003C4908D24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0" authorId="0" shapeId="0" xr:uid="{691E15BF-9A83-47A2-92D3-0054E50F61E2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3" authorId="0" shapeId="0" xr:uid="{DC6E87E7-F17B-4F3E-9D6E-05B6059A1E7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7" authorId="0" shapeId="0" xr:uid="{CDFBF988-24AC-4F18-BE79-B48E9E6BEFF6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20" authorId="0" shapeId="0" xr:uid="{5497B575-F455-4BC0-81C4-1071B4D2E915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21" authorId="0" shapeId="0" xr:uid="{37C0A1B6-0015-4354-8950-441F9696B2B0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22" authorId="0" shapeId="0" xr:uid="{CD26A555-DC94-4C9C-B9A7-1C1FB507752C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23" authorId="0" shapeId="0" xr:uid="{438E368E-C210-48A1-920B-5A9A5D73F8B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38" authorId="0" shapeId="0" xr:uid="{9F30170A-C915-48F2-814B-5729CFF8523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40" authorId="0" shapeId="0" xr:uid="{20509853-94B3-4981-A0CD-F840C444C2C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41" authorId="0" shapeId="0" xr:uid="{277692B0-A798-4D3A-912D-78822111224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46" authorId="0" shapeId="0" xr:uid="{15A24763-4F16-477C-92D3-8B51D9A7424E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48" authorId="0" shapeId="0" xr:uid="{31AB88B4-7932-457E-8C25-016D3792001C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51" authorId="0" shapeId="0" xr:uid="{080CD971-0D0F-4914-BCEF-86403F1D4C6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52" authorId="0" shapeId="0" xr:uid="{F73F6A8C-E6B7-4468-9E4D-98CB99A4209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53" authorId="0" shapeId="0" xr:uid="{90BA76E5-D129-4DA3-936B-743E2903F391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54" authorId="0" shapeId="0" xr:uid="{AD08AE72-DDC9-4E26-B7BB-8D74B84F29F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67" authorId="0" shapeId="0" xr:uid="{B1A60B80-1544-4302-8509-6A0B93022B2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69" authorId="0" shapeId="0" xr:uid="{B1085CD8-ACB8-4C51-9763-00A8035FD9F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70" authorId="0" shapeId="0" xr:uid="{58B8DADA-B336-4502-8B8F-3840DE12145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72" authorId="0" shapeId="0" xr:uid="{0BFD973D-BFD9-4DE2-97FA-FDEE090DEB18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73" authorId="0" shapeId="0" xr:uid="{CA86C78A-78D4-4CFB-803D-F8503D6943C0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74" authorId="0" shapeId="0" xr:uid="{CC2908A2-CE5A-40FB-8986-7C4CD428EC8C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75" authorId="0" shapeId="0" xr:uid="{9E1D219B-3786-4795-9D59-0EE2DB6794E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77" authorId="0" shapeId="0" xr:uid="{1161CA1F-724F-4645-8F91-3C1F5C6FBEFF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79" authorId="0" shapeId="0" xr:uid="{25ECAC0F-282C-4045-90E6-66587E6EDCDE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0" authorId="0" shapeId="0" xr:uid="{78BECACC-8D04-4449-A4A4-E843A3C348DD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5" authorId="0" shapeId="0" xr:uid="{081D1D99-6BBC-4406-B9ED-27043046EDCA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8" authorId="0" shapeId="0" xr:uid="{6BDFEF69-2E3A-4946-9BDA-E89C95270403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92" authorId="0" shapeId="0" xr:uid="{967C05A2-441A-40FB-9C78-9827D0EDC937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93" authorId="0" shapeId="0" xr:uid="{15A68EDC-8B48-47D9-AAE1-0FA4CE42A744}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<sst xmlns="http://schemas.openxmlformats.org/spreadsheetml/2006/main" count="1930" uniqueCount="529">
  <si>
    <t>Сорт</t>
  </si>
  <si>
    <t>Можжевельник казацкий</t>
  </si>
  <si>
    <t>Juniperus sabina</t>
  </si>
  <si>
    <t>Можжевельник пфитцера, средний</t>
  </si>
  <si>
    <t>Mint Julep</t>
  </si>
  <si>
    <t>Сосна горная</t>
  </si>
  <si>
    <t>Pinus mugo</t>
  </si>
  <si>
    <t>20-30</t>
  </si>
  <si>
    <t>Туя западная</t>
  </si>
  <si>
    <t>Thuja occidentalis</t>
  </si>
  <si>
    <t>C2</t>
  </si>
  <si>
    <t xml:space="preserve">Можжевельник скальный </t>
  </si>
  <si>
    <t>Juniperus scopulorum</t>
  </si>
  <si>
    <t>Blue Arrow</t>
  </si>
  <si>
    <t>30-40</t>
  </si>
  <si>
    <t>Danica</t>
  </si>
  <si>
    <t>C1</t>
  </si>
  <si>
    <t>руб</t>
  </si>
  <si>
    <t>Заказ, шт</t>
  </si>
  <si>
    <t>Примечание</t>
  </si>
  <si>
    <t>Ассортимент</t>
  </si>
  <si>
    <t>Особенности</t>
  </si>
  <si>
    <t>Описание</t>
  </si>
  <si>
    <t>Picea pungens</t>
  </si>
  <si>
    <t>Ель колючая</t>
  </si>
  <si>
    <t xml:space="preserve"> </t>
  </si>
  <si>
    <t>C3</t>
  </si>
  <si>
    <t>C5</t>
  </si>
  <si>
    <t>C15</t>
  </si>
  <si>
    <t>P14</t>
  </si>
  <si>
    <t>40-50</t>
  </si>
  <si>
    <t>C10</t>
  </si>
  <si>
    <t>C7,5</t>
  </si>
  <si>
    <t>60-80</t>
  </si>
  <si>
    <t>C25</t>
  </si>
  <si>
    <t>80-100</t>
  </si>
  <si>
    <t>C4</t>
  </si>
  <si>
    <t>C6</t>
  </si>
  <si>
    <t>40-60</t>
  </si>
  <si>
    <t>C12</t>
  </si>
  <si>
    <t>C2,5</t>
  </si>
  <si>
    <t>Super Blue Seedling</t>
  </si>
  <si>
    <t>Picea abies</t>
  </si>
  <si>
    <t>Ель обыкновенная</t>
  </si>
  <si>
    <t>Nidiformis</t>
  </si>
  <si>
    <t>20-40</t>
  </si>
  <si>
    <t>Juniperus chinensis</t>
  </si>
  <si>
    <t>Можжевельник китайский</t>
  </si>
  <si>
    <t>C1,5</t>
  </si>
  <si>
    <t>Pinus strobus</t>
  </si>
  <si>
    <t>Сосна веймутова</t>
  </si>
  <si>
    <t>C4,5</t>
  </si>
  <si>
    <t>Pinus sylvestris</t>
  </si>
  <si>
    <t>Сосна обыкновенная</t>
  </si>
  <si>
    <t>Brabant</t>
  </si>
  <si>
    <t>Tiny Tim</t>
  </si>
  <si>
    <t>Woodwardii</t>
  </si>
  <si>
    <t>C18</t>
  </si>
  <si>
    <t>120-140</t>
  </si>
  <si>
    <t>C7</t>
  </si>
  <si>
    <t>Sorbus aucuparia</t>
  </si>
  <si>
    <t>Рябина обыкновенная</t>
  </si>
  <si>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</si>
  <si>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</si>
  <si>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с условиями работы ознакомлен</t>
  </si>
  <si>
    <t>Адрес склада: Московская область, Каширский район, дер. Барабаново</t>
  </si>
  <si>
    <t>← Выберите период поставки</t>
  </si>
  <si>
    <t>← Выберите способ оплаты</t>
  </si>
  <si>
    <t>Количество растений</t>
  </si>
  <si>
    <t>Итоговая сумма за растения с КДП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</si>
  <si>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</si>
  <si>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>Род, вид на латинском</t>
  </si>
  <si>
    <t>Род, вид на русском</t>
  </si>
  <si>
    <t>Упаковка корневой системы</t>
  </si>
  <si>
    <t>Высота, см</t>
  </si>
  <si>
    <t>Ширина, см</t>
  </si>
  <si>
    <t>Высота штамба, см</t>
  </si>
  <si>
    <t>Страна производитель</t>
  </si>
  <si>
    <t>Подтверждение</t>
  </si>
  <si>
    <t>*</t>
  </si>
  <si>
    <t>RUS</t>
  </si>
  <si>
    <t>✓</t>
  </si>
  <si>
    <t xml:space="preserve"> Для оформления договорных документов:</t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</si>
  <si>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</si>
  <si>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</si>
  <si>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</si>
  <si>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</si>
  <si>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</si>
  <si>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</si>
  <si>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</si>
  <si>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</si>
  <si>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</si>
  <si>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</si>
  <si>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</si>
  <si>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</si>
  <si>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</si>
  <si>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</si>
  <si>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</si>
  <si>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</si>
  <si>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</si>
  <si>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</si>
  <si>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</si>
  <si>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</si>
  <si>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</si>
  <si>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>На протяжения всего периода работы мы будем информировать Вас обо всех изменениях, связанных с исполнением заказа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</si>
  <si>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</si>
  <si>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</si>
  <si>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</si>
  <si>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</si>
  <si>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организации доставки нашими силами, но за Ваш счет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</si>
  <si>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</si>
  <si>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</si>
  <si>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</si>
  <si>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</si>
  <si>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</si>
  <si>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</si>
  <si>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 в г. Москве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</si>
  <si>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</si>
  <si>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</si>
  <si>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</si>
  <si>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</si>
  <si>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</si>
  <si>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</si>
  <si>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</si>
  <si>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</si>
  <si>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</si>
  <si>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</si>
  <si>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</si>
  <si>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</si>
  <si>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</si>
  <si>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</si>
  <si>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</si>
  <si>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</si>
  <si>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</si>
  <si>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</si>
  <si>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</si>
  <si>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</si>
  <si>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Сроки выкопки и выдачи растений могут изменяться в зависимости от погодных условий.</t>
  </si>
  <si>
    <t>Во время выкопки выдача растений осуществляется не раннее 6-12 дней после оплаты заказа.</t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</si>
  <si>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</si>
  <si>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r>
      <rPr>
        <i/>
        <sz val="12"/>
        <color rgb="FF3A3A3A"/>
        <rFont val="Bahnschrift SemiLight SemiConde"/>
        <family val="2"/>
        <charset val="204"/>
      </rP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</si>
  <si>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t>Сосна черная</t>
  </si>
  <si>
    <t>Golden Smaragd=Janed Gold</t>
  </si>
  <si>
    <t>Растения</t>
  </si>
  <si>
    <t>Предварительная сумма за растения без КДП</t>
  </si>
  <si>
    <t>Комиссия за ден. переводы (КДП)</t>
  </si>
  <si>
    <t>Сумма КДП на растения</t>
  </si>
  <si>
    <t>← Выберите способ отгрузки растений</t>
  </si>
  <si>
    <t>← Выберите способ доставки</t>
  </si>
  <si>
    <t>Предварительная сумма за доставку без КДП</t>
  </si>
  <si>
    <t>Предварительная сумма за тару без КДП</t>
  </si>
  <si>
    <t>Итоговая сумма за тару с КДП (ориентировочно)</t>
  </si>
  <si>
    <t>Итоговая сумма за доставку с КДП (ориентировочно)</t>
  </si>
  <si>
    <t>C11</t>
  </si>
  <si>
    <t>C2 PA</t>
  </si>
  <si>
    <t>C3 PA</t>
  </si>
  <si>
    <t>C5 PA</t>
  </si>
  <si>
    <t>ИТОГО:</t>
  </si>
  <si>
    <t>P9</t>
  </si>
  <si>
    <t>P13</t>
  </si>
  <si>
    <t>машина</t>
  </si>
  <si>
    <t>газель</t>
  </si>
  <si>
    <t>5-тонник</t>
  </si>
  <si>
    <t>10-тонник</t>
  </si>
  <si>
    <t>фура</t>
  </si>
  <si>
    <t>Glauca Globosa=Globosa</t>
  </si>
  <si>
    <t>46-38-15163</t>
  </si>
  <si>
    <t>46-38-8228</t>
  </si>
  <si>
    <t xml:space="preserve">Pinus nigra </t>
  </si>
  <si>
    <t>46-38-8231</t>
  </si>
  <si>
    <t>46-38-8232</t>
  </si>
  <si>
    <t>46-38-4303</t>
  </si>
  <si>
    <t>46-38-4171</t>
  </si>
  <si>
    <t>Globosa</t>
  </si>
  <si>
    <t>46-38-4305</t>
  </si>
  <si>
    <t>Holmstrup</t>
  </si>
  <si>
    <t>46-38-6268</t>
  </si>
  <si>
    <t>46-38-4322</t>
  </si>
  <si>
    <t>46-38-4173</t>
  </si>
  <si>
    <t>Golden Globe=Globosa Aurea</t>
  </si>
  <si>
    <t>46-38-4371</t>
  </si>
  <si>
    <t>46-38-15978</t>
  </si>
  <si>
    <t>King of Brabant</t>
  </si>
  <si>
    <t>Sunkist</t>
  </si>
  <si>
    <t>46-38-4246</t>
  </si>
  <si>
    <t>46-38-15161</t>
  </si>
  <si>
    <t>Salix fragilis</t>
  </si>
  <si>
    <t>Ива ломкая шаровидная</t>
  </si>
  <si>
    <t>Juniperus pfitzeriana</t>
  </si>
  <si>
    <t>C20</t>
  </si>
  <si>
    <t>Mr.Bowling Ball=Bobazam</t>
  </si>
  <si>
    <t>P7</t>
  </si>
  <si>
    <t>C7 PA</t>
  </si>
  <si>
    <t>Кольцо 100*120*40</t>
  </si>
  <si>
    <t>Поддон 100*120*20</t>
  </si>
  <si>
    <t>Бокс для выкопки нестандарт (до 140+) до ТК</t>
  </si>
  <si>
    <t>Цена за тару</t>
  </si>
  <si>
    <t>Кол-во растений в заказе, шт</t>
  </si>
  <si>
    <t>Предварительный вес заказа, кг</t>
  </si>
  <si>
    <t>кг</t>
  </si>
  <si>
    <t>по весу</t>
  </si>
  <si>
    <t>вместимость ПМ</t>
  </si>
  <si>
    <t>итоговая машина</t>
  </si>
  <si>
    <t>Вес растения</t>
  </si>
  <si>
    <t>ИТОГО</t>
  </si>
  <si>
    <t>Контейнер/Тара</t>
  </si>
  <si>
    <t>стоимость за КМ</t>
  </si>
  <si>
    <t>км ввёл клиент</t>
  </si>
  <si>
    <t>сумма за доставку</t>
  </si>
  <si>
    <t>Сумма за доставку (предварительно)</t>
  </si>
  <si>
    <t>Сумма за тару (предварительно)</t>
  </si>
  <si>
    <t>Вся следующая часть внизу будет не видна для клиента:</t>
  </si>
  <si>
    <t>по объёму в таре</t>
  </si>
  <si>
    <t>46-318-1886</t>
  </si>
  <si>
    <t>Сумма к оплате (ориентировочно)</t>
  </si>
  <si>
    <t>Стоимость товара иностранного производства, тары, услуги доставки, комиссии за денежный перевод на момент размещения заказа  являются ориентировочными/приблизительными. Конечную стоимость Вашего заказа с деталями дополнительных услуг вы сможете расчитать вместе с нашим менеджером.</t>
  </si>
  <si>
    <t>*Навалом в транспортную компанию НЕ отгружаем!</t>
  </si>
  <si>
    <t>Если Ваш груз упакован в разную тару - Вас ждет индивидуальный расчет упаковки растений.</t>
  </si>
  <si>
    <t>Smaragd=Emerald Green=Emeraude</t>
  </si>
  <si>
    <r>
      <t xml:space="preserve">Ящик деревянный 100*120*100 </t>
    </r>
    <r>
      <rPr>
        <sz val="11"/>
        <color rgb="FFFF0000"/>
        <rFont val="Arial"/>
        <family val="2"/>
        <charset val="204"/>
      </rPr>
      <t>1/2 ПМ</t>
    </r>
  </si>
  <si>
    <t>1500 справочно</t>
  </si>
  <si>
    <t>1000 справочно</t>
  </si>
  <si>
    <t>700 справочно</t>
  </si>
  <si>
    <t>400 справочно</t>
  </si>
  <si>
    <r>
      <rPr>
        <b/>
        <sz val="11"/>
        <color rgb="FFFF0000"/>
        <rFont val="Arial"/>
        <family val="2"/>
        <charset val="204"/>
      </rPr>
      <t>СПРАВОЧНАЯ</t>
    </r>
    <r>
      <rPr>
        <b/>
        <sz val="11"/>
        <rFont val="Arial"/>
        <family val="2"/>
      </rPr>
      <t xml:space="preserve"> вместимость  в тару, шт</t>
    </r>
  </si>
  <si>
    <r>
      <rPr>
        <b/>
        <sz val="11"/>
        <color rgb="FFFF0000"/>
        <rFont val="Arial"/>
        <family val="2"/>
        <charset val="204"/>
      </rPr>
      <t>СПРАВОЧНЫЙ</t>
    </r>
    <r>
      <rPr>
        <b/>
        <sz val="11"/>
        <rFont val="Arial"/>
        <family val="2"/>
      </rPr>
      <t xml:space="preserve"> расчет объёма заказа</t>
    </r>
  </si>
  <si>
    <t>Точный расчет объема - после формирования Вашего заказа.</t>
  </si>
  <si>
    <t>Точный расчет количества и стоимости тары - после формирования Вашего заказа.</t>
  </si>
  <si>
    <t>Ш 2,45 м</t>
  </si>
  <si>
    <t>Д 13,5 м</t>
  </si>
  <si>
    <t>52 бокса</t>
  </si>
  <si>
    <t>Д 6,2 м</t>
  </si>
  <si>
    <t>12 ПМ</t>
  </si>
  <si>
    <t>24 бокса</t>
  </si>
  <si>
    <t>Д 4,10 м</t>
  </si>
  <si>
    <t>26 ПМ</t>
  </si>
  <si>
    <t>Ш 1,90 м</t>
  </si>
  <si>
    <t>4 ПМ</t>
  </si>
  <si>
    <t>БЕЗ КОЛЕЦ</t>
  </si>
  <si>
    <t>С КОЛЬЦАМИ</t>
  </si>
  <si>
    <t>Цены без КДП</t>
  </si>
  <si>
    <t>Итого паллетомест (предварительно)</t>
  </si>
  <si>
    <t>В 2,20 м</t>
  </si>
  <si>
    <t>В 2,3 м</t>
  </si>
  <si>
    <t>В 2,45 м</t>
  </si>
  <si>
    <t>Товарная категория</t>
  </si>
  <si>
    <t>C4,5 PA</t>
  </si>
  <si>
    <t>C6 PA</t>
  </si>
  <si>
    <t>C7,5 PA</t>
  </si>
  <si>
    <t>C10 PA</t>
  </si>
  <si>
    <t>C12 PA</t>
  </si>
  <si>
    <t>C15 PA</t>
  </si>
  <si>
    <t>C18 PA</t>
  </si>
  <si>
    <t>● Заполненную Анкету клиента (шаблон необходимо запросить у Вашего менеджера)</t>
  </si>
  <si>
    <r>
      <rPr>
        <b/>
        <sz val="12"/>
        <color rgb="FFFF0000"/>
        <rFont val="Calibri"/>
        <family val="2"/>
        <charset val="204"/>
        <scheme val="minor"/>
      </rPr>
      <t>*Тара платная</t>
    </r>
    <r>
      <rPr>
        <b/>
        <sz val="12"/>
        <color theme="1"/>
        <rFont val="Calibri"/>
        <family val="2"/>
        <charset val="204"/>
        <scheme val="minor"/>
      </rPr>
      <t xml:space="preserve">, </t>
    </r>
    <r>
      <rPr>
        <sz val="12"/>
        <color theme="1"/>
        <rFont val="Calibri"/>
        <family val="2"/>
        <charset val="204"/>
        <scheme val="minor"/>
      </rPr>
      <t>выберете в калькуляторе способ отгрузки Ваших растений: навалом или в тару.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</si>
  <si>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ближайшего к нашему складу терминала ТК: ПЭК, ЖелДорЭкспедиция, Вера-1.</t>
    </r>
  </si>
  <si>
    <r>
      <rPr>
        <b/>
        <sz val="12"/>
        <color rgb="FFFF0000"/>
        <rFont val="Calibri"/>
        <family val="2"/>
        <charset val="204"/>
        <scheme val="minor"/>
      </rPr>
      <t>*Доставка платная</t>
    </r>
    <r>
      <rPr>
        <sz val="12"/>
        <color theme="1"/>
        <rFont val="Calibri"/>
        <family val="2"/>
        <charset val="204"/>
        <scheme val="minor"/>
      </rPr>
      <t xml:space="preserve"> до Вашего адреса.</t>
    </r>
  </si>
  <si>
    <r>
      <t xml:space="preserve">Доп. услуги </t>
    </r>
    <r>
      <rPr>
        <b/>
        <sz val="13"/>
        <color rgb="FFFF0000"/>
        <rFont val="Calibri"/>
        <family val="2"/>
        <charset val="204"/>
        <scheme val="minor"/>
      </rPr>
      <t>(в разработке)</t>
    </r>
  </si>
  <si>
    <t>ДОРОГОЙ КЛИЕНТ!</t>
  </si>
  <si>
    <t>Для Вашего удобства мы разрабатываем максимально подробный и прозрачный формат расчета вместимости в тару и доставки.</t>
  </si>
  <si>
    <t>Просим Вас отнестись с понимание и участием.</t>
  </si>
  <si>
    <t>Компания Садовая палитра будет Вам благодарна за комментарии и советы по улучшению качества обслуживания!</t>
  </si>
  <si>
    <r>
      <rPr>
        <b/>
        <sz val="12"/>
        <rFont val="Calibri"/>
        <family val="2"/>
        <charset val="204"/>
        <scheme val="minor"/>
      </rPr>
      <t>*Итоговую сумму заказа составляют:</t>
    </r>
    <r>
      <rPr>
        <sz val="12"/>
        <rFont val="Calibri"/>
        <family val="2"/>
        <charset val="204"/>
        <scheme val="minor"/>
      </rPr>
      <t xml:space="preserve"> стоимость растений+стоимость тары+стоимость доставки+комиссия за ден переводы.</t>
    </r>
  </si>
  <si>
    <r>
      <t xml:space="preserve">Ящик  пластиковый 60*40*30 </t>
    </r>
    <r>
      <rPr>
        <sz val="11"/>
        <color rgb="FFFF0000"/>
        <rFont val="Arial"/>
        <family val="2"/>
        <charset val="204"/>
      </rPr>
      <t>40 штук на ПМ</t>
    </r>
  </si>
  <si>
    <t>Кольцо 100*120*40         1 шт на 1ПМ (не ТК, клиенту в фуру)</t>
  </si>
  <si>
    <r>
      <t xml:space="preserve">После внесения аванса для бронирования, </t>
    </r>
    <r>
      <rPr>
        <b/>
        <i/>
        <sz val="11"/>
        <color rgb="FFFF0000"/>
        <rFont val="Bahnschrift SemiLight SemiConde"/>
        <family val="2"/>
        <charset val="204"/>
      </rPr>
      <t>частичный или полный отказ от заказа по Вашей инициативе не возможны</t>
    </r>
    <r>
      <rPr>
        <b/>
        <i/>
        <sz val="11"/>
        <color rgb="FF3A3A3A"/>
        <rFont val="Bahnschrift SemiLight SemiConde"/>
        <family val="2"/>
        <charset val="204"/>
      </rPr>
      <t xml:space="preserve">. </t>
    </r>
  </si>
  <si>
    <t>Не выбрано!</t>
  </si>
  <si>
    <t>Поддон 100*120*12</t>
  </si>
  <si>
    <t>Крышка для Ящика деревянного 100*120*2</t>
  </si>
  <si>
    <r>
      <t xml:space="preserve">Ящик  пластиковый 60*40*22 </t>
    </r>
    <r>
      <rPr>
        <b/>
        <sz val="11"/>
        <color rgb="FFFF0000"/>
        <rFont val="Arial"/>
        <family val="2"/>
        <charset val="204"/>
      </rPr>
      <t>40шт на ПМ</t>
    </r>
  </si>
  <si>
    <r>
      <t xml:space="preserve">Ящик деревянный 100*120*100 </t>
    </r>
    <r>
      <rPr>
        <b/>
        <sz val="11"/>
        <color rgb="FFFF0000"/>
        <rFont val="Arial"/>
        <family val="2"/>
        <charset val="204"/>
      </rPr>
      <t>2шт на ПМ</t>
    </r>
  </si>
  <si>
    <t>Минимальный заказ, шт</t>
  </si>
  <si>
    <t>Если в заказе менее 5 ПМ - расчет стоимости доставки индивидуальный.</t>
  </si>
  <si>
    <t>Стандартная стоимость доставки до ТК  3000 рублей за 5 и более ПМ.</t>
  </si>
  <si>
    <t>C16</t>
  </si>
  <si>
    <t>C16 PA</t>
  </si>
  <si>
    <t>C20 PA</t>
  </si>
  <si>
    <t>C25 PA</t>
  </si>
  <si>
    <t>С35</t>
  </si>
  <si>
    <t>С4 PA</t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</si>
  <si>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до 140 см</t>
    </r>
  </si>
  <si>
    <r>
      <t xml:space="preserve">Выкопка, WRB, высота растения </t>
    </r>
    <r>
      <rPr>
        <sz val="11"/>
        <color rgb="FFFF0000"/>
        <rFont val="Arial"/>
        <family val="2"/>
        <charset val="204"/>
      </rPr>
      <t>более 140 см</t>
    </r>
  </si>
  <si>
    <t>* Сроки выкопки и выдачи растений могут измениться в зависимости от погодных условий.</t>
  </si>
  <si>
    <t>46-387-0001</t>
  </si>
  <si>
    <t>46-38-0657</t>
  </si>
  <si>
    <t>46-38-4176</t>
  </si>
  <si>
    <t>46-38-2010</t>
  </si>
  <si>
    <t>46-38-4120</t>
  </si>
  <si>
    <t>481-03-0011</t>
  </si>
  <si>
    <t>46-38-4115</t>
  </si>
  <si>
    <t>46-38-4113</t>
  </si>
  <si>
    <t>46-38-4174</t>
  </si>
  <si>
    <t>46-38-4175</t>
  </si>
  <si>
    <t>46-38-6276</t>
  </si>
  <si>
    <t>Malus</t>
  </si>
  <si>
    <t>Macopin</t>
  </si>
  <si>
    <t>Сумма предварительная</t>
  </si>
  <si>
    <t>Опт (50 тыс. ₽ - 200 тыс. ₽)</t>
  </si>
  <si>
    <t>Крупный опт (≥200 тыс. ₽)</t>
  </si>
  <si>
    <t>Общая сумма заказа в рублях</t>
  </si>
  <si>
    <t>количество растений</t>
  </si>
  <si>
    <t>итоговая сумма за растения</t>
  </si>
  <si>
    <t>Оплата в рублях.</t>
  </si>
  <si>
    <t>шт, количество растений</t>
  </si>
  <si>
    <r>
      <t xml:space="preserve">Подпишитесь на наши каналы в </t>
    </r>
    <r>
      <rPr>
        <b/>
        <sz val="9"/>
        <rFont val="Arial"/>
        <family val="2"/>
        <charset val="204"/>
      </rPr>
      <t>MAX и Telegram</t>
    </r>
    <r>
      <rPr>
        <sz val="9"/>
        <rFont val="Arial"/>
        <family val="2"/>
        <charset val="204"/>
      </rPr>
      <t>, чтобы всегда быть в курсе последних новостей, предложений и акций:</t>
    </r>
  </si>
  <si>
    <t>ПРОДАНО</t>
  </si>
  <si>
    <t>Аванс для бронирования: 50%, оплата перед отгрузкой 50%</t>
  </si>
  <si>
    <t>Перейти в калькулятор   &lt;&lt;&lt;&lt;&lt;&lt;</t>
  </si>
  <si>
    <t>46-38-14505</t>
  </si>
  <si>
    <t>46-38-15971</t>
  </si>
  <si>
    <t>46-38-15972</t>
  </si>
  <si>
    <t>Glauca</t>
  </si>
  <si>
    <t>46-38-3022</t>
  </si>
  <si>
    <t>46-38-4329</t>
  </si>
  <si>
    <t>46-38-2132</t>
  </si>
  <si>
    <t>Ohlendorffii</t>
  </si>
  <si>
    <t xml:space="preserve">46-38-15979
</t>
  </si>
  <si>
    <t xml:space="preserve">46-38-15980
</t>
  </si>
  <si>
    <t xml:space="preserve">46-38-15981
</t>
  </si>
  <si>
    <t>46-38-15162</t>
  </si>
  <si>
    <t>46-318-0831</t>
  </si>
  <si>
    <t>46-318-1945</t>
  </si>
  <si>
    <t>46-38-50073</t>
  </si>
  <si>
    <t>46-38-50074</t>
  </si>
  <si>
    <t>46-38-50075</t>
  </si>
  <si>
    <t>46-38-16111</t>
  </si>
  <si>
    <t>46-318-0830</t>
  </si>
  <si>
    <t>46-318-2409</t>
  </si>
  <si>
    <t>46-318-2410</t>
  </si>
  <si>
    <t>46-318-2411</t>
  </si>
  <si>
    <t>46-38-0690</t>
  </si>
  <si>
    <t>46-38-4601</t>
  </si>
  <si>
    <t>46-38-15982</t>
  </si>
  <si>
    <t>46-38-15983</t>
  </si>
  <si>
    <t>46-38-4347</t>
  </si>
  <si>
    <t>46-38-15976</t>
  </si>
  <si>
    <t>46-38-15977</t>
  </si>
  <si>
    <t>46-38-15985</t>
  </si>
  <si>
    <t>46-38-4599</t>
  </si>
  <si>
    <t>46-38-15984</t>
  </si>
  <si>
    <t>46-38-5054</t>
  </si>
  <si>
    <t>46-38-4383</t>
  </si>
  <si>
    <t>Можжевельник прибрежный</t>
  </si>
  <si>
    <t>Juniperus conferta</t>
  </si>
  <si>
    <t>Schlager</t>
  </si>
  <si>
    <t>46-38-15958</t>
  </si>
  <si>
    <t>46-38-15959</t>
  </si>
  <si>
    <t>46-38-15960</t>
  </si>
  <si>
    <t>46-38-14509</t>
  </si>
  <si>
    <t>46-38-15973</t>
  </si>
  <si>
    <t>46-318-2647</t>
  </si>
  <si>
    <t>46-38-4331</t>
  </si>
  <si>
    <t>46-38-4334</t>
  </si>
  <si>
    <t>46-38-4335</t>
  </si>
  <si>
    <t>46-38-15954</t>
  </si>
  <si>
    <t>46-38-15955</t>
  </si>
  <si>
    <t>46-38-9965</t>
  </si>
  <si>
    <t>Черемуха виргинская</t>
  </si>
  <si>
    <t>Prunus virginiana</t>
  </si>
  <si>
    <t>Shubert</t>
  </si>
  <si>
    <t>46-38-14517</t>
  </si>
  <si>
    <t>46-38-16094</t>
  </si>
  <si>
    <t>46-38-11806</t>
  </si>
  <si>
    <t>Недзвецкого</t>
  </si>
  <si>
    <t>Яблоня</t>
  </si>
  <si>
    <t>46-38-11808</t>
  </si>
  <si>
    <t>46-38-4343</t>
  </si>
  <si>
    <t>46-38-4344</t>
  </si>
  <si>
    <t>46-38-15221</t>
  </si>
  <si>
    <t>46-318-2407</t>
  </si>
  <si>
    <t>Wareana Lutescens</t>
  </si>
  <si>
    <t>46-38-4634</t>
  </si>
  <si>
    <t>Moonglow</t>
  </si>
  <si>
    <t>46-318-2405</t>
  </si>
  <si>
    <t>46-318-2716</t>
  </si>
  <si>
    <t>46-38-16301</t>
  </si>
  <si>
    <t>Blue Alps</t>
  </si>
  <si>
    <t>46-38-15963                </t>
  </si>
  <si>
    <t>46-38-15964                </t>
  </si>
  <si>
    <t>46-38-15965                </t>
  </si>
  <si>
    <t>46-38-50070</t>
  </si>
  <si>
    <t>46-38-50071</t>
  </si>
  <si>
    <t>на р/счет</t>
  </si>
  <si>
    <t>46-318-2645</t>
  </si>
  <si>
    <t>46-318-1943</t>
  </si>
  <si>
    <t>46-38-4119</t>
  </si>
  <si>
    <t>46-318-1973</t>
  </si>
  <si>
    <t>46-318-2717</t>
  </si>
  <si>
    <t>46-318-2724</t>
  </si>
  <si>
    <t>46-318-2408</t>
  </si>
  <si>
    <t>46-318-2721</t>
  </si>
  <si>
    <t>46-318-2719</t>
  </si>
  <si>
    <t>46-318-2723</t>
  </si>
  <si>
    <t>46-318-2095</t>
  </si>
  <si>
    <t>46-38-4242</t>
  </si>
  <si>
    <t>46-38-4114</t>
  </si>
  <si>
    <t>46-318-2720</t>
  </si>
  <si>
    <t>46-38-2004</t>
  </si>
  <si>
    <t>46-38-4247</t>
  </si>
  <si>
    <t>46-38-6273</t>
  </si>
  <si>
    <t>46-38-10006</t>
  </si>
  <si>
    <t>46-318-2646</t>
  </si>
  <si>
    <t>46-318-2648</t>
  </si>
  <si>
    <t>46-318-2649</t>
  </si>
  <si>
    <t>46-318-1885</t>
  </si>
  <si>
    <t>10-20</t>
  </si>
  <si>
    <t>500+</t>
  </si>
  <si>
    <t>180-200</t>
  </si>
  <si>
    <t>220-240</t>
  </si>
  <si>
    <t>250-300</t>
  </si>
  <si>
    <t>100-120</t>
  </si>
  <si>
    <t>140-160</t>
  </si>
  <si>
    <t>160-180</t>
  </si>
  <si>
    <t>200-220</t>
  </si>
  <si>
    <t>220+</t>
  </si>
  <si>
    <t>240+</t>
  </si>
  <si>
    <t>200-225</t>
  </si>
  <si>
    <t>200+</t>
  </si>
  <si>
    <t>140+</t>
  </si>
  <si>
    <t>160+</t>
  </si>
  <si>
    <t>180+</t>
  </si>
  <si>
    <t>280-300 airpot</t>
  </si>
  <si>
    <t>WRB</t>
  </si>
  <si>
    <t>Остатки ОП</t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</si>
  <si>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</si>
  <si>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ОПТ-3%</t>
    </r>
  </si>
  <si>
    <r>
      <t xml:space="preserve">заказ &lt;20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ОПТ-9%</t>
    </r>
  </si>
  <si>
    <r>
      <t xml:space="preserve">заказ ≥20 шт на позицию </t>
    </r>
    <r>
      <rPr>
        <b/>
        <sz val="11"/>
        <color theme="9" tint="-0.499984740745262"/>
        <rFont val="Calibri"/>
        <family val="2"/>
        <charset val="204"/>
        <scheme val="minor"/>
      </rPr>
      <t>ОПТ-15%</t>
    </r>
  </si>
  <si>
    <t>Партнер</t>
  </si>
  <si>
    <t>200-250</t>
  </si>
  <si>
    <t>46-38-3051</t>
  </si>
  <si>
    <r>
      <t>* Цены в прайсе указаны при оплате наличными в кассу.</t>
    </r>
    <r>
      <rPr>
        <b/>
        <sz val="10"/>
        <color rgb="FFC00000"/>
        <rFont val="Calibri"/>
        <family val="2"/>
        <charset val="204"/>
        <scheme val="minor"/>
      </rPr>
      <t xml:space="preserve"> При оплате по безналу выберете в калькуляторе способ оплаты на р/счет.</t>
    </r>
  </si>
  <si>
    <r>
      <t xml:space="preserve">Общий минимальный заказ 35 000 </t>
    </r>
    <r>
      <rPr>
        <b/>
        <sz val="11"/>
        <color rgb="FFC00000"/>
        <rFont val="Calibri"/>
        <family val="2"/>
        <charset val="204"/>
      </rPr>
      <t>₽</t>
    </r>
  </si>
  <si>
    <t>При полной оплате заказа до 25 августа 2026 года предоставляется скидка 5%.</t>
  </si>
  <si>
    <t>https://sadovaypalitra.ru/</t>
  </si>
  <si>
    <t>Отдел продаж</t>
  </si>
  <si>
    <t>+7(925) 022-88-21</t>
  </si>
  <si>
    <t>+7(925) 023-18-95</t>
  </si>
  <si>
    <t>ЭКСТРА качество</t>
  </si>
  <si>
    <t>46-318-2650</t>
  </si>
  <si>
    <t>46-318-2651</t>
  </si>
  <si>
    <t>WRB_Выкопка</t>
  </si>
  <si>
    <t>WRB_Лиственные деревья</t>
  </si>
  <si>
    <t>WRB_Хвойные</t>
  </si>
  <si>
    <t>Всего</t>
  </si>
  <si>
    <t>свободно</t>
  </si>
  <si>
    <t>АСТ контейнер</t>
  </si>
  <si>
    <t>Остатки СЦ</t>
  </si>
  <si>
    <t>46-38-16530</t>
  </si>
  <si>
    <t>46-38-16531</t>
  </si>
  <si>
    <t>46-38-15702</t>
  </si>
  <si>
    <t>46-38-16559</t>
  </si>
  <si>
    <t>46-38-16560</t>
  </si>
  <si>
    <t>46-38-16561</t>
  </si>
  <si>
    <t>46-38-16562</t>
  </si>
  <si>
    <t>46-38-16563</t>
  </si>
  <si>
    <t>46-38-16564</t>
  </si>
  <si>
    <t>46-38-16565</t>
  </si>
  <si>
    <t>240-260</t>
  </si>
  <si>
    <t>46-38-15974</t>
  </si>
  <si>
    <t>46-38-4332</t>
  </si>
  <si>
    <t>46-38-4333</t>
  </si>
  <si>
    <t>46-38-16532</t>
  </si>
  <si>
    <t>46-38-16533</t>
  </si>
  <si>
    <t>46-38-16534</t>
  </si>
  <si>
    <t>46-38-16535</t>
  </si>
  <si>
    <t>46-38-16536</t>
  </si>
  <si>
    <t>46-38-16537</t>
  </si>
  <si>
    <t>20-30 40-60</t>
  </si>
  <si>
    <t>20-30 80-100</t>
  </si>
  <si>
    <t>20-30 100-120</t>
  </si>
  <si>
    <t>20-30 120-140</t>
  </si>
  <si>
    <t>46-38-16539</t>
  </si>
  <si>
    <t>46-38-16540</t>
  </si>
  <si>
    <t>46-38-16538</t>
  </si>
  <si>
    <t>только с отбором</t>
  </si>
  <si>
    <t>46-38-16541</t>
  </si>
  <si>
    <t>46-38-11857</t>
  </si>
  <si>
    <t>260-280</t>
  </si>
  <si>
    <t>46-38-16544</t>
  </si>
  <si>
    <t>46-38-16545</t>
  </si>
  <si>
    <t>46-38-16556</t>
  </si>
  <si>
    <t>46-38-6261</t>
  </si>
  <si>
    <t>46-38-16557</t>
  </si>
  <si>
    <t>46-38-6262</t>
  </si>
  <si>
    <t>300-350</t>
  </si>
  <si>
    <t>46-38-16552</t>
  </si>
  <si>
    <t>46-38-4304</t>
  </si>
  <si>
    <t>46-38-4457</t>
  </si>
  <si>
    <t>46-38-4385</t>
  </si>
  <si>
    <t>46-38-16548</t>
  </si>
  <si>
    <t>46-38-16549</t>
  </si>
  <si>
    <t>46-38-16550</t>
  </si>
  <si>
    <t>46-38-16551</t>
  </si>
  <si>
    <t>Miky</t>
  </si>
  <si>
    <t>46-38-16553</t>
  </si>
  <si>
    <t>46-38-16554</t>
  </si>
  <si>
    <t>46-38-16555</t>
  </si>
  <si>
    <t>46-38-16546</t>
  </si>
  <si>
    <t>46-38-4413</t>
  </si>
  <si>
    <t>46-38-16547</t>
  </si>
  <si>
    <t>46-38-10007</t>
  </si>
  <si>
    <t>Smaragd Witbont</t>
  </si>
  <si>
    <t>46-38-9994</t>
  </si>
  <si>
    <t>46-38-9995</t>
  </si>
  <si>
    <t>46-38-4112</t>
  </si>
  <si>
    <t>46-38-4353</t>
  </si>
  <si>
    <t>46-38-2008</t>
  </si>
  <si>
    <t>46-38-9989</t>
  </si>
  <si>
    <t>Pumilio = var. pumilio</t>
  </si>
  <si>
    <t>Mughus = var. mughus</t>
  </si>
  <si>
    <t>46-38-16543</t>
  </si>
  <si>
    <t>46-38-15304</t>
  </si>
  <si>
    <t>46-38-15688</t>
  </si>
  <si>
    <t>46-38-2753</t>
  </si>
  <si>
    <t>46-38-16558</t>
  </si>
  <si>
    <t>46-38-4118</t>
  </si>
  <si>
    <t>46-38-0730</t>
  </si>
  <si>
    <t>46-38-8241</t>
  </si>
  <si>
    <t>46-38-9970</t>
  </si>
  <si>
    <t>Mugo</t>
  </si>
  <si>
    <t>46-38-16542</t>
  </si>
  <si>
    <t>46-318-2726</t>
  </si>
  <si>
    <t>46-318-2727</t>
  </si>
  <si>
    <t>46-318-2728</t>
  </si>
  <si>
    <t>46-318-2729</t>
  </si>
  <si>
    <t>нет</t>
  </si>
  <si>
    <r>
      <t xml:space="preserve">Предложение </t>
    </r>
    <r>
      <rPr>
        <b/>
        <sz val="20"/>
        <color rgb="FFC00000"/>
        <rFont val="Arial Black"/>
        <family val="2"/>
        <charset val="204"/>
      </rPr>
      <t>Выкопка_осень 2026</t>
    </r>
  </si>
  <si>
    <r>
      <t>Выдача заказов: WRB</t>
    </r>
    <r>
      <rPr>
        <sz val="11"/>
        <rFont val="Calibri"/>
        <family val="2"/>
        <charset val="204"/>
        <scheme val="minor"/>
      </rPr>
      <t xml:space="preserve"> - с  17 августа-ноябрь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</si>
</sst>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.00\ &quot;₽&quot;"/>
    <numFmt numFmtId="165" formatCode="#,##0\ &quot;₽&quot;"/>
    <numFmt numFmtId="166" formatCode="#,##0.00\ [$€-1];\-#,##0.00\ [$€-1]"/>
    <numFmt numFmtId="167" formatCode="_-* #,##0.00\ [$€-1]_-;\-* #,##0.00\ [$€-1]_-;_-* &quot;-&quot;??\ [$€-1]_-;_-@_-"/>
    <numFmt numFmtId="168" formatCode="0.0000"/>
    <numFmt numFmtId="169" formatCode="_-* #,##0\ [$₽-419]_-;\-* #,##0\ [$₽-419]_-;_-* &quot;-&quot;??\ [$₽-419]_-;_-@_-"/>
    <numFmt numFmtId="170" formatCode="#,##0_ ;\-#,##0\ "/>
    <numFmt numFmtId="171" formatCode="#,##0.00_ ;\-#,##0.00\ 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name val="Arial"/>
      <family val="2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u/>
      <sz val="11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ourier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sz val="11"/>
      <name val="Arial"/>
      <family val="2"/>
      <charset val="204"/>
    </font>
    <font>
      <sz val="11"/>
      <color theme="2"/>
      <name val="Calibri"/>
      <family val="2"/>
      <scheme val="minor"/>
    </font>
    <font>
      <sz val="9"/>
      <name val="Arial"/>
      <family val="2"/>
      <charset val="204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b/>
      <i/>
      <sz val="11"/>
      <color rgb="FF3A3A3A"/>
      <name val="Bahnschrift SemiLight SemiConde"/>
      <family val="2"/>
      <charset val="204"/>
    </font>
    <font>
      <b/>
      <i/>
      <sz val="11"/>
      <color theme="1" tint="0.249977111117893"/>
      <name val="Bahnschrift SemiLight SemiConde"/>
      <family val="2"/>
      <charset val="204"/>
    </font>
    <font>
      <b/>
      <i/>
      <sz val="14"/>
      <color rgb="FF2D533A"/>
      <name val="Calibri"/>
      <family val="2"/>
      <charset val="204"/>
      <scheme val="minor"/>
    </font>
    <font>
      <sz val="10"/>
      <name val="MS Sans Serif"/>
      <family val="2"/>
      <charset val="238"/>
    </font>
    <font>
      <sz val="8"/>
      <name val="Calibri"/>
      <family val="2"/>
      <charset val="204"/>
      <scheme val="minor"/>
    </font>
    <font>
      <b/>
      <sz val="11"/>
      <name val="Arial"/>
      <family val="2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FF0000"/>
      <name val="Calibri"/>
      <family val="2"/>
      <charset val="204"/>
      <scheme val="minor"/>
    </font>
    <font>
      <b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color indexed="8"/>
      <name val="Arial"/>
      <family val="2"/>
      <charset val="238"/>
    </font>
    <font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20"/>
      <color theme="9" tint="-0.499984740745262"/>
      <name val="Arial Black"/>
      <family val="2"/>
      <charset val="204"/>
    </font>
    <font>
      <b/>
      <sz val="11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rgb="FFFF0000"/>
      <name val="Calibri"/>
      <family val="2"/>
      <charset val="204"/>
      <scheme val="minor"/>
    </font>
    <font>
      <b/>
      <i/>
      <sz val="11"/>
      <color rgb="FFFF0000"/>
      <name val="Bahnschrift SemiLight SemiConde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  <charset val="204"/>
    </font>
    <font>
      <sz val="11"/>
      <color theme="0" tint="-0.249977111117893"/>
      <name val="Calibri"/>
      <family val="2"/>
      <scheme val="minor"/>
    </font>
    <font>
      <b/>
      <sz val="13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4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9" tint="-0.49998474074526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u/>
      <sz val="14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</font>
    <font>
      <b/>
      <u/>
      <sz val="15"/>
      <color rgb="FF00B05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1"/>
      <color rgb="FF00B050"/>
      <name val="Calibri"/>
      <family val="2"/>
      <scheme val="minor"/>
    </font>
    <font>
      <b/>
      <sz val="15"/>
      <color rgb="FFC00000"/>
      <name val="Calibri"/>
      <family val="2"/>
      <charset val="204"/>
      <scheme val="minor"/>
    </font>
    <font>
      <sz val="11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sz val="9"/>
      <color rgb="FFFF0000"/>
      <name val="Calibri"/>
      <family val="2"/>
      <scheme val="minor"/>
    </font>
    <font>
      <b/>
      <sz val="20"/>
      <color rgb="FFC00000"/>
      <name val="Arial Black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8">
    <xf numFmtId="0" fontId="0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4" fillId="0" borderId="0" applyNumberFormat="0" applyFill="0" applyBorder="0" applyAlignment="0" applyProtection="0"/>
    <xf numFmtId="0" fontId="5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52" fillId="0" borderId="0" applyNumberFormat="0" applyFill="0" applyBorder="0" applyAlignment="0" applyProtection="0"/>
    <xf numFmtId="0" fontId="54" fillId="0" borderId="0">
      <alignment vertical="top"/>
    </xf>
    <xf numFmtId="0" fontId="52" fillId="0" borderId="0" applyNumberFormat="0" applyFill="0" applyBorder="0" applyAlignment="0" applyProtection="0"/>
    <xf numFmtId="0" fontId="71" fillId="0" borderId="0"/>
    <xf numFmtId="0" fontId="5" fillId="0" borderId="0"/>
  </cellStyleXfs>
  <cellXfs count="319">
    <xf numFmtId="0" fontId="0" fillId="0" borderId="0" xfId="0"/>
    <xf numFmtId="0" fontId="1" fillId="0" borderId="0" xfId="6" applyProtection="1">
      <protection locked="0"/>
    </xf>
    <xf numFmtId="0" fontId="1" fillId="0" borderId="0" xfId="6" applyAlignment="1" applyProtection="1">
      <alignment horizontal="center" vertical="center"/>
      <protection locked="0"/>
    </xf>
    <xf numFmtId="0" fontId="15" fillId="0" borderId="0" xfId="8" applyFont="1" applyFill="1" applyAlignment="1" applyProtection="1">
      <alignment horizontal="center" vertical="center"/>
      <protection locked="0"/>
    </xf>
    <xf numFmtId="0" fontId="21" fillId="2" borderId="4" xfId="6" applyFont="1" applyFill="1" applyBorder="1" applyProtection="1">
      <protection locked="0"/>
    </xf>
    <xf numFmtId="1" fontId="22" fillId="2" borderId="3" xfId="7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15" applyBorder="1"/>
    <xf numFmtId="0" fontId="1" fillId="0" borderId="9" xfId="15" applyBorder="1"/>
    <xf numFmtId="0" fontId="1" fillId="0" borderId="10" xfId="15" applyBorder="1"/>
    <xf numFmtId="0" fontId="1" fillId="0" borderId="0" xfId="15"/>
    <xf numFmtId="0" fontId="1" fillId="0" borderId="11" xfId="15" applyBorder="1"/>
    <xf numFmtId="0" fontId="1" fillId="0" borderId="12" xfId="15" applyBorder="1"/>
    <xf numFmtId="0" fontId="25" fillId="0" borderId="11" xfId="15" applyFont="1" applyBorder="1"/>
    <xf numFmtId="0" fontId="25" fillId="0" borderId="0" xfId="15" applyFont="1"/>
    <xf numFmtId="0" fontId="26" fillId="0" borderId="0" xfId="15" applyFont="1"/>
    <xf numFmtId="0" fontId="26" fillId="0" borderId="12" xfId="15" applyFont="1" applyBorder="1"/>
    <xf numFmtId="0" fontId="27" fillId="0" borderId="0" xfId="15" applyFont="1"/>
    <xf numFmtId="0" fontId="27" fillId="0" borderId="12" xfId="15" applyFont="1" applyBorder="1"/>
    <xf numFmtId="0" fontId="28" fillId="0" borderId="11" xfId="15" applyFont="1" applyBorder="1"/>
    <xf numFmtId="0" fontId="29" fillId="4" borderId="11" xfId="15" applyFont="1" applyFill="1" applyBorder="1" applyAlignment="1">
      <alignment horizontal="right"/>
    </xf>
    <xf numFmtId="0" fontId="29" fillId="0" borderId="0" xfId="15" applyFont="1"/>
    <xf numFmtId="0" fontId="30" fillId="0" borderId="0" xfId="15" applyFont="1"/>
    <xf numFmtId="0" fontId="30" fillId="0" borderId="12" xfId="15" applyFont="1" applyBorder="1"/>
    <xf numFmtId="0" fontId="31" fillId="4" borderId="11" xfId="15" applyFont="1" applyFill="1" applyBorder="1" applyAlignment="1">
      <alignment horizontal="left"/>
    </xf>
    <xf numFmtId="0" fontId="33" fillId="0" borderId="0" xfId="15" applyFont="1"/>
    <xf numFmtId="0" fontId="34" fillId="0" borderId="0" xfId="15" applyFont="1"/>
    <xf numFmtId="0" fontId="31" fillId="0" borderId="0" xfId="15" applyFont="1" applyAlignment="1">
      <alignment horizontal="left"/>
    </xf>
    <xf numFmtId="0" fontId="35" fillId="0" borderId="0" xfId="15" applyFont="1"/>
    <xf numFmtId="0" fontId="35" fillId="0" borderId="12" xfId="15" applyFont="1" applyBorder="1"/>
    <xf numFmtId="0" fontId="34" fillId="4" borderId="11" xfId="15" applyFont="1" applyFill="1" applyBorder="1"/>
    <xf numFmtId="0" fontId="36" fillId="0" borderId="0" xfId="15" applyFont="1" applyAlignment="1">
      <alignment horizontal="left" indent="2"/>
    </xf>
    <xf numFmtId="0" fontId="37" fillId="0" borderId="0" xfId="15" applyFont="1" applyAlignment="1">
      <alignment horizontal="right"/>
    </xf>
    <xf numFmtId="0" fontId="36" fillId="0" borderId="0" xfId="15" applyFont="1" applyAlignment="1">
      <alignment horizontal="left"/>
    </xf>
    <xf numFmtId="0" fontId="38" fillId="0" borderId="0" xfId="15" applyFont="1" applyAlignment="1">
      <alignment vertical="center"/>
    </xf>
    <xf numFmtId="0" fontId="10" fillId="4" borderId="11" xfId="15" applyFont="1" applyFill="1" applyBorder="1"/>
    <xf numFmtId="0" fontId="10" fillId="0" borderId="0" xfId="15" applyFont="1"/>
    <xf numFmtId="0" fontId="1" fillId="4" borderId="11" xfId="15" applyFill="1" applyBorder="1"/>
    <xf numFmtId="0" fontId="30" fillId="4" borderId="11" xfId="15" applyFont="1" applyFill="1" applyBorder="1" applyAlignment="1">
      <alignment horizontal="right"/>
    </xf>
    <xf numFmtId="0" fontId="39" fillId="0" borderId="0" xfId="15" applyFont="1" applyAlignment="1">
      <alignment horizontal="left"/>
    </xf>
    <xf numFmtId="0" fontId="2" fillId="0" borderId="0" xfId="15" applyFont="1"/>
    <xf numFmtId="0" fontId="2" fillId="0" borderId="12" xfId="15" applyFont="1" applyBorder="1"/>
    <xf numFmtId="0" fontId="30" fillId="4" borderId="11" xfId="15" applyFont="1" applyFill="1" applyBorder="1" applyAlignment="1">
      <alignment horizontal="right" vertical="top"/>
    </xf>
    <xf numFmtId="0" fontId="39" fillId="0" borderId="0" xfId="15" applyFont="1" applyAlignment="1">
      <alignment horizontal="left" vertical="top" wrapText="1"/>
    </xf>
    <xf numFmtId="0" fontId="2" fillId="0" borderId="12" xfId="15" applyFont="1" applyBorder="1" applyAlignment="1">
      <alignment vertical="top"/>
    </xf>
    <xf numFmtId="0" fontId="2" fillId="0" borderId="0" xfId="15" applyFont="1" applyAlignment="1">
      <alignment vertical="top"/>
    </xf>
    <xf numFmtId="0" fontId="36" fillId="0" borderId="0" xfId="15" applyFont="1" applyAlignment="1">
      <alignment horizontal="left" vertical="top" wrapText="1" indent="2"/>
    </xf>
    <xf numFmtId="0" fontId="1" fillId="0" borderId="13" xfId="15" applyBorder="1"/>
    <xf numFmtId="0" fontId="1" fillId="0" borderId="14" xfId="15" applyBorder="1"/>
    <xf numFmtId="0" fontId="1" fillId="0" borderId="15" xfId="15" applyBorder="1"/>
    <xf numFmtId="0" fontId="17" fillId="0" borderId="0" xfId="17" applyFont="1" applyAlignment="1">
      <alignment horizontal="left" vertical="top" wrapText="1"/>
    </xf>
    <xf numFmtId="0" fontId="41" fillId="0" borderId="0" xfId="15" applyFont="1"/>
    <xf numFmtId="0" fontId="22" fillId="5" borderId="16" xfId="7" applyFont="1" applyFill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58" fillId="0" borderId="0" xfId="10" applyFont="1" applyAlignment="1" applyProtection="1">
      <alignment horizontal="left" vertical="center" indent="1"/>
      <protection hidden="1"/>
    </xf>
    <xf numFmtId="0" fontId="51" fillId="0" borderId="0" xfId="0" applyFont="1" applyProtection="1">
      <protection hidden="1"/>
    </xf>
    <xf numFmtId="44" fontId="56" fillId="0" borderId="0" xfId="6" applyNumberFormat="1" applyFont="1" applyAlignment="1" applyProtection="1">
      <alignment vertical="center"/>
      <protection hidden="1"/>
    </xf>
    <xf numFmtId="0" fontId="58" fillId="0" borderId="0" xfId="0" applyFont="1" applyAlignment="1" applyProtection="1">
      <alignment horizontal="left" vertical="center" indent="1"/>
      <protection hidden="1"/>
    </xf>
    <xf numFmtId="0" fontId="50" fillId="0" borderId="0" xfId="4" applyFont="1" applyAlignment="1" applyProtection="1">
      <alignment vertical="center"/>
      <protection hidden="1"/>
    </xf>
    <xf numFmtId="0" fontId="56" fillId="0" borderId="0" xfId="10" applyFont="1" applyAlignment="1" applyProtection="1">
      <alignment horizontal="left" vertical="center" indent="1"/>
      <protection hidden="1"/>
    </xf>
    <xf numFmtId="9" fontId="56" fillId="0" borderId="0" xfId="20" applyFont="1" applyFill="1" applyBorder="1" applyAlignment="1" applyProtection="1">
      <protection hidden="1"/>
    </xf>
    <xf numFmtId="0" fontId="63" fillId="3" borderId="3" xfId="0" applyFont="1" applyFill="1" applyBorder="1" applyProtection="1">
      <protection hidden="1"/>
    </xf>
    <xf numFmtId="0" fontId="51" fillId="0" borderId="6" xfId="0" applyFont="1" applyBorder="1" applyProtection="1">
      <protection hidden="1"/>
    </xf>
    <xf numFmtId="0" fontId="51" fillId="0" borderId="4" xfId="0" applyFont="1" applyBorder="1" applyProtection="1">
      <protection hidden="1"/>
    </xf>
    <xf numFmtId="0" fontId="51" fillId="0" borderId="5" xfId="0" applyFont="1" applyBorder="1" applyProtection="1">
      <protection hidden="1"/>
    </xf>
    <xf numFmtId="1" fontId="50" fillId="0" borderId="3" xfId="0" applyNumberFormat="1" applyFont="1" applyBorder="1" applyProtection="1">
      <protection hidden="1"/>
    </xf>
    <xf numFmtId="0" fontId="56" fillId="0" borderId="6" xfId="10" applyFont="1" applyBorder="1" applyAlignment="1" applyProtection="1">
      <alignment horizontal="left" vertical="center" indent="1"/>
      <protection hidden="1"/>
    </xf>
    <xf numFmtId="0" fontId="56" fillId="0" borderId="4" xfId="10" applyFont="1" applyBorder="1" applyAlignment="1" applyProtection="1">
      <alignment horizontal="left" vertical="center" indent="1"/>
      <protection hidden="1"/>
    </xf>
    <xf numFmtId="0" fontId="56" fillId="0" borderId="5" xfId="10" applyFont="1" applyBorder="1" applyAlignment="1" applyProtection="1">
      <alignment horizontal="left" vertical="center" indent="1"/>
      <protection hidden="1"/>
    </xf>
    <xf numFmtId="0" fontId="50" fillId="0" borderId="0" xfId="0" applyFont="1" applyProtection="1">
      <protection hidden="1"/>
    </xf>
    <xf numFmtId="164" fontId="0" fillId="0" borderId="0" xfId="0" applyNumberFormat="1" applyProtection="1">
      <protection hidden="1"/>
    </xf>
    <xf numFmtId="164" fontId="51" fillId="0" borderId="3" xfId="0" applyNumberFormat="1" applyFont="1" applyBorder="1" applyProtection="1">
      <protection hidden="1"/>
    </xf>
    <xf numFmtId="0" fontId="58" fillId="0" borderId="6" xfId="10" applyFont="1" applyBorder="1" applyAlignment="1" applyProtection="1">
      <alignment horizontal="left" vertical="center" indent="1"/>
      <protection hidden="1"/>
    </xf>
    <xf numFmtId="0" fontId="58" fillId="0" borderId="4" xfId="10" applyFont="1" applyBorder="1" applyAlignment="1" applyProtection="1">
      <alignment horizontal="left" vertical="center" indent="1"/>
      <protection hidden="1"/>
    </xf>
    <xf numFmtId="0" fontId="58" fillId="0" borderId="5" xfId="10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Protection="1">
      <protection hidden="1"/>
    </xf>
    <xf numFmtId="0" fontId="58" fillId="0" borderId="6" xfId="6" applyFont="1" applyBorder="1" applyAlignment="1" applyProtection="1">
      <alignment horizontal="left" vertical="center" indent="1"/>
      <protection hidden="1"/>
    </xf>
    <xf numFmtId="0" fontId="58" fillId="0" borderId="4" xfId="6" applyFont="1" applyBorder="1" applyAlignment="1" applyProtection="1">
      <alignment horizontal="left" vertical="center" indent="1"/>
      <protection hidden="1"/>
    </xf>
    <xf numFmtId="0" fontId="58" fillId="0" borderId="5" xfId="6" applyFont="1" applyBorder="1" applyAlignment="1" applyProtection="1">
      <alignment horizontal="left" vertical="center" indent="1"/>
      <protection hidden="1"/>
    </xf>
    <xf numFmtId="164" fontId="58" fillId="0" borderId="0" xfId="6" applyNumberFormat="1" applyFont="1" applyAlignment="1" applyProtection="1">
      <alignment horizontal="right"/>
      <protection hidden="1"/>
    </xf>
    <xf numFmtId="164" fontId="56" fillId="0" borderId="0" xfId="6" applyNumberFormat="1" applyFont="1" applyAlignment="1" applyProtection="1">
      <alignment horizontal="right"/>
      <protection hidden="1"/>
    </xf>
    <xf numFmtId="164" fontId="56" fillId="7" borderId="0" xfId="0" applyNumberFormat="1" applyFont="1" applyFill="1" applyProtection="1">
      <protection hidden="1"/>
    </xf>
    <xf numFmtId="0" fontId="56" fillId="7" borderId="0" xfId="0" applyFont="1" applyFill="1" applyProtection="1">
      <protection hidden="1"/>
    </xf>
    <xf numFmtId="0" fontId="57" fillId="0" borderId="4" xfId="10" applyFont="1" applyBorder="1" applyAlignment="1" applyProtection="1">
      <alignment horizontal="left" vertical="center" indent="1"/>
      <protection hidden="1"/>
    </xf>
    <xf numFmtId="0" fontId="57" fillId="0" borderId="0" xfId="10" applyFont="1" applyAlignment="1" applyProtection="1">
      <alignment horizontal="left" vertical="center" indent="1"/>
      <protection hidden="1"/>
    </xf>
    <xf numFmtId="0" fontId="53" fillId="0" borderId="4" xfId="0" applyFont="1" applyBorder="1" applyAlignment="1" applyProtection="1">
      <alignment horizontal="left" vertical="center" indent="1"/>
      <protection hidden="1"/>
    </xf>
    <xf numFmtId="0" fontId="57" fillId="7" borderId="4" xfId="0" applyFont="1" applyFill="1" applyBorder="1" applyAlignment="1" applyProtection="1">
      <alignment horizontal="left" vertical="center" indent="1"/>
      <protection hidden="1"/>
    </xf>
    <xf numFmtId="0" fontId="57" fillId="7" borderId="0" xfId="0" applyFont="1" applyFill="1" applyAlignment="1" applyProtection="1">
      <alignment horizontal="left" vertical="center" indent="1"/>
      <protection hidden="1"/>
    </xf>
    <xf numFmtId="0" fontId="57" fillId="0" borderId="0" xfId="0" applyFont="1" applyAlignment="1" applyProtection="1">
      <alignment horizontal="left" vertical="center" indent="1"/>
      <protection hidden="1"/>
    </xf>
    <xf numFmtId="164" fontId="51" fillId="0" borderId="3" xfId="0" applyNumberFormat="1" applyFont="1" applyBorder="1" applyAlignment="1" applyProtection="1">
      <alignment horizontal="right"/>
      <protection hidden="1"/>
    </xf>
    <xf numFmtId="164" fontId="50" fillId="0" borderId="3" xfId="0" applyNumberFormat="1" applyFont="1" applyBorder="1" applyAlignment="1" applyProtection="1">
      <alignment horizontal="right"/>
      <protection hidden="1"/>
    </xf>
    <xf numFmtId="0" fontId="58" fillId="0" borderId="0" xfId="0" applyFont="1" applyProtection="1">
      <protection hidden="1"/>
    </xf>
    <xf numFmtId="164" fontId="2" fillId="0" borderId="0" xfId="0" applyNumberFormat="1" applyFont="1" applyProtection="1">
      <protection hidden="1"/>
    </xf>
    <xf numFmtId="0" fontId="8" fillId="0" borderId="0" xfId="10" applyFont="1" applyAlignment="1" applyProtection="1">
      <alignment horizontal="left" vertical="center" indent="1"/>
      <protection hidden="1"/>
    </xf>
    <xf numFmtId="168" fontId="0" fillId="0" borderId="0" xfId="0" applyNumberFormat="1" applyProtection="1">
      <protection hidden="1"/>
    </xf>
    <xf numFmtId="0" fontId="0" fillId="0" borderId="0" xfId="0" applyAlignment="1" applyProtection="1">
      <alignment wrapText="1"/>
      <protection hidden="1"/>
    </xf>
    <xf numFmtId="0" fontId="62" fillId="0" borderId="0" xfId="7" applyFont="1" applyProtection="1">
      <protection hidden="1"/>
    </xf>
    <xf numFmtId="0" fontId="16" fillId="0" borderId="0" xfId="7" applyFont="1" applyAlignment="1" applyProtection="1">
      <alignment horizontal="center"/>
      <protection hidden="1"/>
    </xf>
    <xf numFmtId="0" fontId="16" fillId="0" borderId="0" xfId="7" applyFont="1" applyProtection="1">
      <protection hidden="1"/>
    </xf>
    <xf numFmtId="0" fontId="62" fillId="0" borderId="0" xfId="7" applyFont="1" applyAlignment="1" applyProtection="1">
      <alignment vertical="top"/>
      <protection hidden="1"/>
    </xf>
    <xf numFmtId="0" fontId="44" fillId="0" borderId="0" xfId="7" applyFont="1" applyAlignment="1" applyProtection="1">
      <alignment vertical="top"/>
      <protection hidden="1"/>
    </xf>
    <xf numFmtId="0" fontId="22" fillId="0" borderId="0" xfId="7" applyFont="1" applyProtection="1">
      <protection hidden="1"/>
    </xf>
    <xf numFmtId="0" fontId="44" fillId="0" borderId="0" xfId="7" applyFont="1" applyProtection="1">
      <protection hidden="1"/>
    </xf>
    <xf numFmtId="0" fontId="13" fillId="3" borderId="3" xfId="7" applyFont="1" applyFill="1" applyBorder="1" applyAlignment="1" applyProtection="1">
      <alignment horizontal="center" vertical="top" wrapText="1"/>
      <protection hidden="1"/>
    </xf>
    <xf numFmtId="0" fontId="0" fillId="3" borderId="3" xfId="0" applyFill="1" applyBorder="1" applyAlignment="1" applyProtection="1">
      <alignment vertical="top"/>
      <protection hidden="1"/>
    </xf>
    <xf numFmtId="0" fontId="46" fillId="3" borderId="3" xfId="7" applyFont="1" applyFill="1" applyBorder="1" applyAlignment="1" applyProtection="1">
      <alignment horizontal="center" vertical="top" wrapText="1"/>
      <protection hidden="1"/>
    </xf>
    <xf numFmtId="0" fontId="62" fillId="3" borderId="3" xfId="7" applyFont="1" applyFill="1" applyBorder="1" applyAlignment="1" applyProtection="1">
      <alignment horizontal="center" vertical="top" wrapText="1"/>
      <protection hidden="1"/>
    </xf>
    <xf numFmtId="0" fontId="45" fillId="2" borderId="3" xfId="7" applyFont="1" applyFill="1" applyBorder="1" applyAlignment="1" applyProtection="1">
      <alignment horizontal="center"/>
      <protection hidden="1"/>
    </xf>
    <xf numFmtId="0" fontId="16" fillId="2" borderId="3" xfId="7" applyFont="1" applyFill="1" applyBorder="1" applyAlignment="1" applyProtection="1">
      <alignment horizontal="center" vertical="top" wrapText="1"/>
      <protection hidden="1"/>
    </xf>
    <xf numFmtId="0" fontId="22" fillId="2" borderId="3" xfId="7" applyFont="1" applyFill="1" applyBorder="1" applyAlignment="1" applyProtection="1">
      <alignment horizontal="center" vertical="top" wrapText="1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2" fontId="0" fillId="0" borderId="16" xfId="0" applyNumberForma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 vertical="top" wrapText="1"/>
      <protection hidden="1"/>
    </xf>
    <xf numFmtId="0" fontId="49" fillId="2" borderId="3" xfId="7" applyFont="1" applyFill="1" applyBorder="1" applyAlignment="1" applyProtection="1">
      <alignment horizontal="left" vertical="top"/>
      <protection hidden="1"/>
    </xf>
    <xf numFmtId="2" fontId="6" fillId="0" borderId="16" xfId="0" applyNumberFormat="1" applyFont="1" applyBorder="1" applyAlignment="1" applyProtection="1">
      <alignment horizontal="center" vertical="center"/>
      <protection hidden="1"/>
    </xf>
    <xf numFmtId="0" fontId="49" fillId="2" borderId="3" xfId="7" applyFont="1" applyFill="1" applyBorder="1" applyAlignment="1" applyProtection="1">
      <alignment horizontal="center"/>
      <protection hidden="1"/>
    </xf>
    <xf numFmtId="2" fontId="8" fillId="0" borderId="16" xfId="0" applyNumberFormat="1" applyFont="1" applyBorder="1" applyAlignment="1" applyProtection="1">
      <alignment horizontal="left" vertical="center"/>
      <protection hidden="1"/>
    </xf>
    <xf numFmtId="165" fontId="16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45" fillId="2" borderId="3" xfId="7" applyNumberFormat="1" applyFont="1" applyFill="1" applyBorder="1" applyAlignment="1" applyProtection="1">
      <alignment horizontal="center" vertical="top" wrapText="1"/>
      <protection hidden="1"/>
    </xf>
    <xf numFmtId="164" fontId="45" fillId="2" borderId="3" xfId="7" applyNumberFormat="1" applyFont="1" applyFill="1" applyBorder="1" applyAlignment="1" applyProtection="1">
      <alignment horizontal="center" vertical="top" wrapText="1"/>
      <protection hidden="1"/>
    </xf>
    <xf numFmtId="0" fontId="6" fillId="0" borderId="16" xfId="0" applyFont="1" applyBorder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2" fontId="0" fillId="0" borderId="25" xfId="0" applyNumberFormat="1" applyBorder="1" applyAlignment="1" applyProtection="1">
      <alignment horizontal="center" vertical="center"/>
      <protection hidden="1"/>
    </xf>
    <xf numFmtId="2" fontId="8" fillId="0" borderId="25" xfId="0" applyNumberFormat="1" applyFont="1" applyBorder="1" applyAlignment="1" applyProtection="1">
      <alignment horizontal="left" vertical="center"/>
      <protection hidden="1"/>
    </xf>
    <xf numFmtId="165" fontId="16" fillId="5" borderId="26" xfId="7" applyNumberFormat="1" applyFont="1" applyFill="1" applyBorder="1" applyAlignment="1" applyProtection="1">
      <alignment horizontal="center" vertical="top" wrapText="1"/>
      <protection hidden="1"/>
    </xf>
    <xf numFmtId="165" fontId="45" fillId="0" borderId="26" xfId="7" applyNumberFormat="1" applyFont="1" applyBorder="1" applyAlignment="1" applyProtection="1">
      <alignment horizontal="center" vertical="top" wrapText="1"/>
      <protection hidden="1"/>
    </xf>
    <xf numFmtId="164" fontId="45" fillId="0" borderId="26" xfId="7" applyNumberFormat="1" applyFont="1" applyBorder="1" applyAlignment="1" applyProtection="1">
      <alignment horizontal="center" vertical="top" wrapText="1"/>
      <protection hidden="1"/>
    </xf>
    <xf numFmtId="0" fontId="46" fillId="0" borderId="3" xfId="7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2" fontId="2" fillId="0" borderId="3" xfId="0" applyNumberFormat="1" applyFont="1" applyBorder="1" applyAlignment="1" applyProtection="1">
      <alignment horizontal="center" vertical="center"/>
      <protection hidden="1"/>
    </xf>
    <xf numFmtId="2" fontId="8" fillId="0" borderId="3" xfId="0" applyNumberFormat="1" applyFont="1" applyBorder="1" applyAlignment="1" applyProtection="1">
      <alignment horizontal="center" vertical="center"/>
      <protection hidden="1"/>
    </xf>
    <xf numFmtId="0" fontId="45" fillId="0" borderId="0" xfId="0" applyFont="1" applyProtection="1">
      <protection hidden="1"/>
    </xf>
    <xf numFmtId="0" fontId="0" fillId="0" borderId="3" xfId="0" applyBorder="1" applyProtection="1">
      <protection hidden="1"/>
    </xf>
    <xf numFmtId="0" fontId="11" fillId="0" borderId="3" xfId="0" applyFont="1" applyBorder="1" applyAlignment="1" applyProtection="1">
      <alignment wrapText="1"/>
      <protection hidden="1"/>
    </xf>
    <xf numFmtId="0" fontId="6" fillId="0" borderId="3" xfId="0" applyFont="1" applyBorder="1" applyProtection="1">
      <protection hidden="1"/>
    </xf>
    <xf numFmtId="0" fontId="46" fillId="0" borderId="3" xfId="7" applyFont="1" applyBorder="1" applyAlignment="1" applyProtection="1">
      <alignment horizontal="right"/>
      <protection hidden="1"/>
    </xf>
    <xf numFmtId="165" fontId="2" fillId="0" borderId="3" xfId="0" applyNumberFormat="1" applyFont="1" applyBorder="1" applyAlignment="1" applyProtection="1">
      <alignment horizontal="center" vertical="center"/>
      <protection hidden="1"/>
    </xf>
    <xf numFmtId="165" fontId="2" fillId="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2" fontId="2" fillId="0" borderId="3" xfId="0" applyNumberFormat="1" applyFont="1" applyBorder="1" applyAlignment="1" applyProtection="1">
      <alignment horizontal="center"/>
      <protection hidden="1"/>
    </xf>
    <xf numFmtId="2" fontId="2" fillId="3" borderId="3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46" fillId="0" borderId="0" xfId="7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45" fillId="0" borderId="0" xfId="7" applyFont="1" applyAlignment="1" applyProtection="1">
      <alignment horizontal="right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3" xfId="0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/>
      <protection hidden="1"/>
    </xf>
    <xf numFmtId="0" fontId="50" fillId="0" borderId="1" xfId="0" applyFont="1" applyBorder="1" applyAlignment="1" applyProtection="1">
      <alignment horizontal="center" vertical="top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51" fillId="0" borderId="1" xfId="0" applyFont="1" applyBorder="1" applyProtection="1">
      <protection hidden="1"/>
    </xf>
    <xf numFmtId="0" fontId="58" fillId="0" borderId="1" xfId="0" applyFont="1" applyBorder="1" applyAlignment="1" applyProtection="1">
      <alignment horizontal="center"/>
      <protection hidden="1"/>
    </xf>
    <xf numFmtId="0" fontId="51" fillId="0" borderId="1" xfId="0" applyFont="1" applyBorder="1" applyAlignment="1" applyProtection="1">
      <alignment horizontal="center"/>
      <protection hidden="1"/>
    </xf>
    <xf numFmtId="0" fontId="58" fillId="0" borderId="1" xfId="0" applyFont="1" applyBorder="1" applyProtection="1">
      <protection hidden="1"/>
    </xf>
    <xf numFmtId="0" fontId="56" fillId="0" borderId="6" xfId="6" applyFont="1" applyBorder="1" applyAlignment="1" applyProtection="1">
      <alignment horizontal="left" vertical="center" indent="1"/>
      <protection hidden="1"/>
    </xf>
    <xf numFmtId="0" fontId="57" fillId="7" borderId="3" xfId="0" applyFont="1" applyFill="1" applyBorder="1" applyProtection="1">
      <protection locked="0"/>
    </xf>
    <xf numFmtId="0" fontId="6" fillId="0" borderId="0" xfId="0" applyFont="1" applyProtection="1">
      <protection hidden="1"/>
    </xf>
    <xf numFmtId="0" fontId="22" fillId="0" borderId="0" xfId="7" applyFont="1" applyAlignment="1" applyProtection="1">
      <alignment horizontal="center"/>
      <protection hidden="1"/>
    </xf>
    <xf numFmtId="165" fontId="22" fillId="2" borderId="3" xfId="7" applyNumberFormat="1" applyFont="1" applyFill="1" applyBorder="1" applyAlignment="1" applyProtection="1">
      <alignment horizontal="center" vertical="top" wrapText="1"/>
      <protection hidden="1"/>
    </xf>
    <xf numFmtId="165" fontId="22" fillId="0" borderId="26" xfId="7" applyNumberFormat="1" applyFont="1" applyBorder="1" applyAlignment="1" applyProtection="1">
      <alignment horizontal="center" vertical="top" wrapText="1"/>
      <protection hidden="1"/>
    </xf>
    <xf numFmtId="0" fontId="8" fillId="0" borderId="3" xfId="0" applyFont="1" applyBorder="1" applyProtection="1">
      <protection hidden="1"/>
    </xf>
    <xf numFmtId="0" fontId="8" fillId="0" borderId="0" xfId="0" applyFont="1" applyProtection="1">
      <protection hidden="1"/>
    </xf>
    <xf numFmtId="0" fontId="6" fillId="0" borderId="0" xfId="0" applyFont="1" applyAlignment="1" applyProtection="1">
      <alignment vertical="top" wrapText="1"/>
      <protection hidden="1"/>
    </xf>
    <xf numFmtId="0" fontId="1" fillId="0" borderId="0" xfId="6" applyProtection="1">
      <protection hidden="1"/>
    </xf>
    <xf numFmtId="0" fontId="8" fillId="3" borderId="2" xfId="1" applyFont="1" applyFill="1" applyBorder="1" applyAlignment="1" applyProtection="1">
      <alignment horizontal="left" vertical="top" wrapText="1"/>
      <protection hidden="1"/>
    </xf>
    <xf numFmtId="0" fontId="4" fillId="0" borderId="0" xfId="4" applyFont="1" applyProtection="1">
      <protection hidden="1"/>
    </xf>
    <xf numFmtId="0" fontId="19" fillId="2" borderId="6" xfId="6" applyFont="1" applyFill="1" applyBorder="1" applyAlignment="1" applyProtection="1">
      <alignment horizontal="left" vertical="center"/>
      <protection hidden="1"/>
    </xf>
    <xf numFmtId="0" fontId="4" fillId="0" borderId="3" xfId="7" applyFont="1" applyBorder="1" applyAlignment="1" applyProtection="1">
      <alignment horizontal="left" vertical="top"/>
      <protection hidden="1"/>
    </xf>
    <xf numFmtId="0" fontId="11" fillId="0" borderId="0" xfId="6" applyFont="1" applyAlignment="1" applyProtection="1">
      <alignment horizontal="left"/>
      <protection hidden="1"/>
    </xf>
    <xf numFmtId="0" fontId="23" fillId="0" borderId="0" xfId="4" applyFont="1" applyProtection="1">
      <protection hidden="1"/>
    </xf>
    <xf numFmtId="0" fontId="1" fillId="0" borderId="0" xfId="6" applyAlignment="1" applyProtection="1">
      <alignment horizontal="left" vertical="center"/>
      <protection locked="0"/>
    </xf>
    <xf numFmtId="0" fontId="61" fillId="0" borderId="0" xfId="6" applyFont="1" applyAlignment="1" applyProtection="1">
      <alignment horizontal="center" vertical="center"/>
      <protection locked="0"/>
    </xf>
    <xf numFmtId="0" fontId="1" fillId="0" borderId="0" xfId="6" applyAlignment="1" applyProtection="1">
      <alignment horizontal="left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2" fillId="0" borderId="0" xfId="6" applyFont="1" applyProtection="1">
      <protection locked="0"/>
    </xf>
    <xf numFmtId="0" fontId="16" fillId="0" borderId="0" xfId="9" applyFont="1" applyProtection="1">
      <protection locked="0"/>
    </xf>
    <xf numFmtId="0" fontId="13" fillId="0" borderId="0" xfId="9" applyFont="1" applyAlignment="1" applyProtection="1">
      <alignment horizontal="center" vertical="center"/>
      <protection locked="0"/>
    </xf>
    <xf numFmtId="0" fontId="0" fillId="0" borderId="0" xfId="1" applyFont="1" applyAlignment="1" applyProtection="1">
      <alignment horizontal="left" vertical="center"/>
      <protection locked="0"/>
    </xf>
    <xf numFmtId="0" fontId="56" fillId="0" borderId="0" xfId="10" applyFont="1" applyAlignment="1" applyProtection="1">
      <alignment horizontal="left" vertical="center" indent="1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6" fillId="0" borderId="0" xfId="6" applyFont="1" applyProtection="1">
      <protection locked="0"/>
    </xf>
    <xf numFmtId="0" fontId="55" fillId="0" borderId="0" xfId="0" applyFont="1" applyProtection="1">
      <protection locked="0"/>
    </xf>
    <xf numFmtId="0" fontId="8" fillId="0" borderId="0" xfId="6" applyFont="1" applyAlignment="1" applyProtection="1">
      <alignment horizontal="right" vertical="center" indent="1"/>
      <protection locked="0"/>
    </xf>
    <xf numFmtId="0" fontId="6" fillId="0" borderId="0" xfId="6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8" fillId="3" borderId="2" xfId="1" applyFont="1" applyFill="1" applyBorder="1" applyAlignment="1" applyProtection="1">
      <alignment horizontal="center" vertical="top" wrapText="1"/>
      <protection locked="0"/>
    </xf>
    <xf numFmtId="0" fontId="8" fillId="3" borderId="2" xfId="9" applyFont="1" applyFill="1" applyBorder="1" applyAlignment="1" applyProtection="1">
      <alignment horizontal="center" vertical="top" wrapText="1"/>
      <protection locked="0"/>
    </xf>
    <xf numFmtId="0" fontId="19" fillId="2" borderId="4" xfId="6" applyFont="1" applyFill="1" applyBorder="1" applyAlignment="1" applyProtection="1">
      <alignment horizontal="center" vertical="center"/>
      <protection locked="0"/>
    </xf>
    <xf numFmtId="0" fontId="20" fillId="2" borderId="4" xfId="6" applyFont="1" applyFill="1" applyBorder="1" applyAlignment="1" applyProtection="1">
      <alignment horizontal="center" vertical="center"/>
      <protection locked="0"/>
    </xf>
    <xf numFmtId="0" fontId="21" fillId="2" borderId="4" xfId="6" applyFont="1" applyFill="1" applyBorder="1" applyAlignment="1" applyProtection="1">
      <alignment horizontal="center"/>
      <protection locked="0"/>
    </xf>
    <xf numFmtId="0" fontId="4" fillId="2" borderId="4" xfId="4" applyFont="1" applyFill="1" applyBorder="1" applyAlignment="1" applyProtection="1">
      <alignment horizontal="center"/>
      <protection locked="0"/>
    </xf>
    <xf numFmtId="0" fontId="4" fillId="2" borderId="5" xfId="4" applyFont="1" applyFill="1" applyBorder="1" applyAlignment="1" applyProtection="1">
      <alignment horizontal="center"/>
      <protection locked="0"/>
    </xf>
    <xf numFmtId="0" fontId="4" fillId="0" borderId="3" xfId="7" applyFont="1" applyBorder="1" applyAlignment="1" applyProtection="1">
      <alignment horizontal="left" vertical="top"/>
      <protection locked="0"/>
    </xf>
    <xf numFmtId="49" fontId="4" fillId="0" borderId="3" xfId="4" applyNumberFormat="1" applyFont="1" applyBorder="1" applyAlignment="1" applyProtection="1">
      <alignment horizontal="center" vertical="center"/>
      <protection locked="0"/>
    </xf>
    <xf numFmtId="44" fontId="11" fillId="0" borderId="3" xfId="4" applyNumberFormat="1" applyFont="1" applyBorder="1" applyAlignment="1" applyProtection="1">
      <alignment horizontal="left" vertical="center"/>
      <protection locked="0"/>
    </xf>
    <xf numFmtId="167" fontId="4" fillId="0" borderId="3" xfId="14" applyNumberFormat="1" applyFont="1" applyBorder="1" applyAlignment="1" applyProtection="1">
      <alignment horizontal="left" vertical="top"/>
      <protection locked="0"/>
    </xf>
    <xf numFmtId="0" fontId="4" fillId="0" borderId="3" xfId="4" applyFont="1" applyBorder="1" applyAlignment="1" applyProtection="1">
      <alignment horizontal="left" vertical="center" indent="1"/>
      <protection locked="0"/>
    </xf>
    <xf numFmtId="165" fontId="48" fillId="3" borderId="3" xfId="7" applyNumberFormat="1" applyFont="1" applyFill="1" applyBorder="1" applyAlignment="1" applyProtection="1">
      <alignment horizontal="center" vertical="top" wrapText="1"/>
      <protection hidden="1"/>
    </xf>
    <xf numFmtId="0" fontId="57" fillId="7" borderId="0" xfId="0" applyFont="1" applyFill="1" applyProtection="1">
      <protection hidden="1"/>
    </xf>
    <xf numFmtId="0" fontId="0" fillId="7" borderId="0" xfId="0" applyFill="1" applyProtection="1">
      <protection hidden="1"/>
    </xf>
    <xf numFmtId="164" fontId="59" fillId="0" borderId="0" xfId="0" applyNumberFormat="1" applyFont="1" applyProtection="1">
      <protection hidden="1"/>
    </xf>
    <xf numFmtId="0" fontId="59" fillId="0" borderId="0" xfId="10" applyFont="1" applyAlignment="1" applyProtection="1">
      <alignment horizontal="left" vertical="center" indent="1"/>
      <protection hidden="1"/>
    </xf>
    <xf numFmtId="0" fontId="59" fillId="3" borderId="3" xfId="10" applyFont="1" applyFill="1" applyBorder="1" applyAlignment="1" applyProtection="1">
      <alignment vertical="center"/>
      <protection hidden="1"/>
    </xf>
    <xf numFmtId="0" fontId="56" fillId="3" borderId="3" xfId="10" applyFont="1" applyFill="1" applyBorder="1" applyAlignment="1" applyProtection="1">
      <alignment vertical="center"/>
      <protection hidden="1"/>
    </xf>
    <xf numFmtId="164" fontId="59" fillId="3" borderId="3" xfId="0" applyNumberFormat="1" applyFont="1" applyFill="1" applyBorder="1" applyAlignment="1" applyProtection="1">
      <alignment vertical="center"/>
      <protection hidden="1"/>
    </xf>
    <xf numFmtId="0" fontId="3" fillId="0" borderId="0" xfId="6" applyFont="1" applyAlignment="1" applyProtection="1">
      <alignment horizontal="left"/>
      <protection locked="0"/>
    </xf>
    <xf numFmtId="44" fontId="66" fillId="3" borderId="3" xfId="6" applyNumberFormat="1" applyFont="1" applyFill="1" applyBorder="1" applyAlignment="1" applyProtection="1">
      <alignment vertical="center"/>
      <protection hidden="1"/>
    </xf>
    <xf numFmtId="9" fontId="57" fillId="2" borderId="6" xfId="20" applyFont="1" applyFill="1" applyBorder="1" applyAlignment="1" applyProtection="1">
      <alignment horizontal="center" vertical="center"/>
      <protection hidden="1"/>
    </xf>
    <xf numFmtId="0" fontId="6" fillId="0" borderId="0" xfId="6" applyFont="1" applyProtection="1">
      <protection hidden="1"/>
    </xf>
    <xf numFmtId="0" fontId="8" fillId="8" borderId="0" xfId="6" applyFont="1" applyFill="1" applyProtection="1">
      <protection hidden="1"/>
    </xf>
    <xf numFmtId="49" fontId="4" fillId="0" borderId="3" xfId="4" applyNumberFormat="1" applyFont="1" applyBorder="1" applyAlignment="1" applyProtection="1">
      <alignment horizontal="left" vertical="center"/>
      <protection locked="0"/>
    </xf>
    <xf numFmtId="49" fontId="69" fillId="0" borderId="3" xfId="4" applyNumberFormat="1" applyFont="1" applyBorder="1" applyAlignment="1" applyProtection="1">
      <alignment horizontal="left" vertical="center" indent="1"/>
      <protection locked="0"/>
    </xf>
    <xf numFmtId="0" fontId="70" fillId="0" borderId="3" xfId="4" applyFont="1" applyBorder="1" applyAlignment="1" applyProtection="1">
      <alignment horizontal="center" vertical="center"/>
      <protection hidden="1"/>
    </xf>
    <xf numFmtId="0" fontId="50" fillId="6" borderId="3" xfId="4" applyFont="1" applyFill="1" applyBorder="1" applyAlignment="1" applyProtection="1">
      <alignment horizontal="left" vertical="center"/>
      <protection locked="0"/>
    </xf>
    <xf numFmtId="0" fontId="50" fillId="6" borderId="3" xfId="4" applyFont="1" applyFill="1" applyBorder="1" applyAlignment="1" applyProtection="1">
      <alignment vertical="center"/>
      <protection locked="0"/>
    </xf>
    <xf numFmtId="170" fontId="70" fillId="0" borderId="3" xfId="4" applyNumberFormat="1" applyFont="1" applyBorder="1" applyAlignment="1" applyProtection="1">
      <alignment vertical="center"/>
      <protection hidden="1"/>
    </xf>
    <xf numFmtId="171" fontId="4" fillId="0" borderId="3" xfId="4" applyNumberFormat="1" applyFont="1" applyBorder="1" applyAlignment="1" applyProtection="1">
      <alignment horizontal="center" vertical="center"/>
      <protection hidden="1"/>
    </xf>
    <xf numFmtId="0" fontId="11" fillId="9" borderId="2" xfId="1" applyFont="1" applyFill="1" applyBorder="1" applyAlignment="1" applyProtection="1">
      <alignment horizontal="center" vertical="top" wrapText="1"/>
      <protection locked="0"/>
    </xf>
    <xf numFmtId="0" fontId="0" fillId="0" borderId="0" xfId="6" applyFont="1" applyAlignment="1" applyProtection="1">
      <alignment vertical="center" wrapText="1"/>
      <protection locked="0"/>
    </xf>
    <xf numFmtId="0" fontId="68" fillId="0" borderId="0" xfId="7" applyFont="1" applyAlignment="1" applyProtection="1">
      <alignment wrapText="1"/>
      <protection locked="0"/>
    </xf>
    <xf numFmtId="1" fontId="20" fillId="10" borderId="3" xfId="6" applyNumberFormat="1" applyFont="1" applyFill="1" applyBorder="1" applyAlignment="1" applyProtection="1">
      <alignment horizontal="center" vertical="center"/>
      <protection locked="0"/>
    </xf>
    <xf numFmtId="0" fontId="59" fillId="0" borderId="0" xfId="10" applyFont="1" applyAlignment="1" applyProtection="1">
      <alignment horizontal="left" vertical="center" indent="1"/>
      <protection locked="0"/>
    </xf>
    <xf numFmtId="170" fontId="66" fillId="3" borderId="3" xfId="6" applyNumberFormat="1" applyFont="1" applyFill="1" applyBorder="1" applyAlignment="1" applyProtection="1">
      <alignment vertical="center"/>
      <protection hidden="1"/>
    </xf>
    <xf numFmtId="164" fontId="53" fillId="0" borderId="3" xfId="0" applyNumberFormat="1" applyFont="1" applyBorder="1" applyProtection="1">
      <protection hidden="1"/>
    </xf>
    <xf numFmtId="164" fontId="57" fillId="0" borderId="3" xfId="0" applyNumberFormat="1" applyFont="1" applyBorder="1" applyProtection="1">
      <protection hidden="1"/>
    </xf>
    <xf numFmtId="0" fontId="73" fillId="0" borderId="0" xfId="0" applyFont="1" applyAlignment="1" applyProtection="1">
      <alignment horizontal="center"/>
      <protection hidden="1"/>
    </xf>
    <xf numFmtId="0" fontId="60" fillId="0" borderId="0" xfId="0" applyFont="1" applyProtection="1">
      <protection hidden="1"/>
    </xf>
    <xf numFmtId="170" fontId="60" fillId="0" borderId="0" xfId="0" applyNumberFormat="1" applyFont="1" applyProtection="1">
      <protection hidden="1"/>
    </xf>
    <xf numFmtId="166" fontId="74" fillId="0" borderId="0" xfId="6" applyNumberFormat="1" applyFont="1" applyAlignment="1" applyProtection="1">
      <alignment vertical="center"/>
      <protection hidden="1"/>
    </xf>
    <xf numFmtId="164" fontId="74" fillId="0" borderId="0" xfId="6" applyNumberFormat="1" applyFont="1" applyProtection="1">
      <protection hidden="1"/>
    </xf>
    <xf numFmtId="166" fontId="74" fillId="0" borderId="0" xfId="6" applyNumberFormat="1" applyFont="1" applyAlignment="1" applyProtection="1">
      <alignment horizontal="right" vertical="center"/>
      <protection hidden="1"/>
    </xf>
    <xf numFmtId="164" fontId="74" fillId="0" borderId="0" xfId="6" applyNumberFormat="1" applyFont="1" applyAlignment="1" applyProtection="1">
      <alignment horizontal="right"/>
      <protection hidden="1"/>
    </xf>
    <xf numFmtId="166" fontId="60" fillId="0" borderId="0" xfId="6" applyNumberFormat="1" applyFont="1" applyAlignment="1" applyProtection="1">
      <alignment horizontal="right" vertical="center"/>
      <protection hidden="1"/>
    </xf>
    <xf numFmtId="164" fontId="60" fillId="0" borderId="0" xfId="6" applyNumberFormat="1" applyFont="1" applyAlignment="1" applyProtection="1">
      <alignment horizontal="right"/>
      <protection hidden="1"/>
    </xf>
    <xf numFmtId="0" fontId="24" fillId="0" borderId="0" xfId="7" applyFont="1" applyAlignment="1" applyProtection="1">
      <alignment wrapText="1"/>
      <protection locked="0"/>
    </xf>
    <xf numFmtId="0" fontId="5" fillId="0" borderId="0" xfId="7" applyFont="1" applyAlignment="1" applyProtection="1">
      <alignment wrapText="1"/>
      <protection locked="0"/>
    </xf>
    <xf numFmtId="0" fontId="59" fillId="0" borderId="3" xfId="10" applyFont="1" applyBorder="1" applyAlignment="1" applyProtection="1">
      <alignment horizontal="left" vertical="center" indent="1"/>
      <protection locked="0"/>
    </xf>
    <xf numFmtId="0" fontId="72" fillId="0" borderId="0" xfId="6" applyFont="1" applyAlignment="1" applyProtection="1">
      <alignment horizontal="left"/>
      <protection hidden="1"/>
    </xf>
    <xf numFmtId="0" fontId="72" fillId="0" borderId="0" xfId="4" applyFont="1" applyAlignment="1" applyProtection="1">
      <alignment horizontal="left"/>
      <protection hidden="1"/>
    </xf>
    <xf numFmtId="169" fontId="72" fillId="0" borderId="0" xfId="4" applyNumberFormat="1" applyFont="1" applyAlignment="1" applyProtection="1">
      <alignment horizontal="left"/>
      <protection hidden="1"/>
    </xf>
    <xf numFmtId="0" fontId="6" fillId="0" borderId="0" xfId="6" applyFont="1" applyAlignment="1" applyProtection="1">
      <alignment horizontal="left"/>
      <protection hidden="1"/>
    </xf>
    <xf numFmtId="0" fontId="59" fillId="8" borderId="18" xfId="10" applyFont="1" applyFill="1" applyBorder="1" applyAlignment="1" applyProtection="1">
      <alignment horizontal="left" vertical="center" indent="1"/>
      <protection locked="0"/>
    </xf>
    <xf numFmtId="0" fontId="59" fillId="8" borderId="0" xfId="10" applyFont="1" applyFill="1" applyAlignment="1" applyProtection="1">
      <alignment horizontal="left" vertical="center" indent="1"/>
      <protection locked="0"/>
    </xf>
    <xf numFmtId="0" fontId="6" fillId="8" borderId="18" xfId="6" applyFont="1" applyFill="1" applyBorder="1" applyProtection="1">
      <protection locked="0"/>
    </xf>
    <xf numFmtId="0" fontId="6" fillId="8" borderId="19" xfId="6" applyFont="1" applyFill="1" applyBorder="1" applyProtection="1"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6" fillId="8" borderId="0" xfId="6" applyFont="1" applyFill="1" applyProtection="1">
      <protection locked="0"/>
    </xf>
    <xf numFmtId="0" fontId="6" fillId="8" borderId="21" xfId="6" applyFont="1" applyFill="1" applyBorder="1" applyProtection="1">
      <protection locked="0"/>
    </xf>
    <xf numFmtId="0" fontId="6" fillId="8" borderId="23" xfId="6" applyFont="1" applyFill="1" applyBorder="1" applyProtection="1">
      <protection locked="0"/>
    </xf>
    <xf numFmtId="0" fontId="6" fillId="8" borderId="24" xfId="6" applyFont="1" applyFill="1" applyBorder="1" applyProtection="1">
      <protection locked="0"/>
    </xf>
    <xf numFmtId="0" fontId="4" fillId="0" borderId="3" xfId="0" applyFont="1" applyBorder="1"/>
    <xf numFmtId="1" fontId="67" fillId="8" borderId="0" xfId="2" applyNumberFormat="1" applyFont="1" applyFill="1" applyAlignment="1" applyProtection="1">
      <alignment horizontal="center" vertical="center"/>
      <protection hidden="1"/>
    </xf>
    <xf numFmtId="0" fontId="1" fillId="0" borderId="20" xfId="6" applyBorder="1" applyProtection="1">
      <protection locked="0"/>
    </xf>
    <xf numFmtId="171" fontId="47" fillId="9" borderId="0" xfId="6" applyNumberFormat="1" applyFont="1" applyFill="1" applyProtection="1">
      <protection locked="0"/>
    </xf>
    <xf numFmtId="44" fontId="4" fillId="0" borderId="3" xfId="4" applyNumberFormat="1" applyFont="1" applyBorder="1" applyAlignment="1" applyProtection="1">
      <alignment horizontal="center" vertical="center"/>
      <protection hidden="1"/>
    </xf>
    <xf numFmtId="0" fontId="79" fillId="0" borderId="0" xfId="6" applyFont="1" applyAlignment="1" applyProtection="1">
      <alignment horizontal="left" vertical="center"/>
      <protection locked="0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0" fontId="2" fillId="0" borderId="0" xfId="6" applyFont="1" applyAlignment="1" applyProtection="1">
      <alignment wrapText="1"/>
      <protection locked="0"/>
    </xf>
    <xf numFmtId="0" fontId="15" fillId="2" borderId="4" xfId="25" applyFont="1" applyFill="1" applyBorder="1" applyAlignment="1" applyProtection="1">
      <alignment horizontal="left" vertical="center"/>
      <protection locked="0"/>
    </xf>
    <xf numFmtId="0" fontId="15" fillId="2" borderId="4" xfId="25" applyFont="1" applyFill="1" applyBorder="1" applyAlignment="1" applyProtection="1">
      <alignment horizontal="center" vertical="center"/>
      <protection locked="0"/>
    </xf>
    <xf numFmtId="0" fontId="11" fillId="2" borderId="4" xfId="25" applyFont="1" applyFill="1" applyBorder="1" applyAlignment="1" applyProtection="1">
      <alignment horizontal="left" vertical="center" indent="1"/>
      <protection locked="0"/>
    </xf>
    <xf numFmtId="49" fontId="70" fillId="0" borderId="3" xfId="4" applyNumberFormat="1" applyFont="1" applyBorder="1" applyAlignment="1" applyProtection="1">
      <alignment horizontal="left" vertical="center" indent="1"/>
      <protection locked="0"/>
    </xf>
    <xf numFmtId="0" fontId="80" fillId="0" borderId="0" xfId="0" applyFont="1" applyProtection="1">
      <protection locked="0"/>
    </xf>
    <xf numFmtId="0" fontId="83" fillId="0" borderId="0" xfId="1" applyFont="1" applyAlignment="1" applyProtection="1">
      <alignment horizontal="left" vertical="center"/>
      <protection locked="0"/>
    </xf>
    <xf numFmtId="0" fontId="4" fillId="0" borderId="0" xfId="6" applyFont="1" applyProtection="1">
      <protection hidden="1"/>
    </xf>
    <xf numFmtId="0" fontId="70" fillId="3" borderId="2" xfId="1" applyFont="1" applyFill="1" applyBorder="1" applyAlignment="1" applyProtection="1">
      <alignment horizontal="left" vertical="top" wrapText="1"/>
      <protection hidden="1"/>
    </xf>
    <xf numFmtId="0" fontId="75" fillId="2" borderId="6" xfId="6" applyFont="1" applyFill="1" applyBorder="1" applyAlignment="1" applyProtection="1">
      <alignment horizontal="left" vertical="center"/>
      <protection hidden="1"/>
    </xf>
    <xf numFmtId="0" fontId="85" fillId="0" borderId="0" xfId="25" applyFont="1" applyProtection="1">
      <protection locked="0"/>
    </xf>
    <xf numFmtId="0" fontId="50" fillId="7" borderId="0" xfId="6" applyFont="1" applyFill="1" applyProtection="1">
      <protection locked="0"/>
    </xf>
    <xf numFmtId="0" fontId="50" fillId="7" borderId="0" xfId="0" applyFont="1" applyFill="1"/>
    <xf numFmtId="0" fontId="83" fillId="3" borderId="0" xfId="1" applyFont="1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left"/>
      <protection locked="0"/>
    </xf>
    <xf numFmtId="0" fontId="1" fillId="3" borderId="0" xfId="6" applyFill="1" applyAlignment="1" applyProtection="1">
      <alignment horizontal="left" vertical="center"/>
      <protection locked="0"/>
    </xf>
    <xf numFmtId="0" fontId="1" fillId="3" borderId="0" xfId="6" applyFill="1" applyAlignment="1" applyProtection="1">
      <alignment horizontal="center" vertical="center"/>
      <protection locked="0"/>
    </xf>
    <xf numFmtId="170" fontId="87" fillId="0" borderId="3" xfId="4" applyNumberFormat="1" applyFont="1" applyBorder="1" applyAlignment="1" applyProtection="1">
      <alignment vertical="center"/>
      <protection hidden="1"/>
    </xf>
    <xf numFmtId="0" fontId="64" fillId="0" borderId="0" xfId="6" applyFont="1" applyAlignment="1" applyProtection="1">
      <alignment horizontal="right"/>
      <protection locked="0"/>
    </xf>
    <xf numFmtId="0" fontId="88" fillId="8" borderId="22" xfId="25" applyFont="1" applyFill="1" applyBorder="1" applyAlignment="1" applyProtection="1">
      <alignment vertical="center"/>
      <protection locked="0"/>
    </xf>
    <xf numFmtId="0" fontId="86" fillId="8" borderId="23" xfId="25" applyFont="1" applyFill="1" applyBorder="1" applyAlignment="1" applyProtection="1">
      <alignment vertical="center"/>
      <protection locked="0"/>
    </xf>
    <xf numFmtId="0" fontId="64" fillId="0" borderId="0" xfId="6" applyFont="1" applyAlignment="1" applyProtection="1">
      <alignment horizontal="left"/>
      <protection locked="0"/>
    </xf>
    <xf numFmtId="0" fontId="4" fillId="0" borderId="27" xfId="0" applyFont="1" applyBorder="1" applyAlignment="1">
      <alignment horizontal="left" vertical="top"/>
    </xf>
    <xf numFmtId="0" fontId="75" fillId="2" borderId="4" xfId="6" applyFont="1" applyFill="1" applyBorder="1" applyAlignment="1" applyProtection="1">
      <alignment horizontal="left" vertical="center"/>
      <protection locked="0"/>
    </xf>
    <xf numFmtId="49" fontId="87" fillId="0" borderId="3" xfId="4" applyNumberFormat="1" applyFont="1" applyBorder="1" applyAlignment="1" applyProtection="1">
      <alignment horizontal="left" vertical="center" indent="1"/>
      <protection locked="0"/>
    </xf>
    <xf numFmtId="0" fontId="8" fillId="8" borderId="7" xfId="4" applyFont="1" applyFill="1" applyBorder="1" applyAlignment="1" applyProtection="1">
      <alignment horizontal="center" vertical="top" wrapText="1"/>
      <protection hidden="1"/>
    </xf>
    <xf numFmtId="0" fontId="89" fillId="0" borderId="3" xfId="7" applyFont="1" applyBorder="1" applyAlignment="1" applyProtection="1">
      <alignment horizontal="left" vertical="top"/>
      <protection locked="0"/>
    </xf>
    <xf numFmtId="49" fontId="89" fillId="0" borderId="3" xfId="4" applyNumberFormat="1" applyFont="1" applyBorder="1" applyAlignment="1" applyProtection="1">
      <alignment horizontal="left" vertical="center"/>
      <protection locked="0"/>
    </xf>
    <xf numFmtId="49" fontId="90" fillId="0" borderId="3" xfId="4" applyNumberFormat="1" applyFont="1" applyBorder="1" applyAlignment="1" applyProtection="1">
      <alignment horizontal="left" vertical="center" indent="1"/>
      <protection locked="0"/>
    </xf>
    <xf numFmtId="0" fontId="8" fillId="11" borderId="7" xfId="4" applyFont="1" applyFill="1" applyBorder="1" applyAlignment="1" applyProtection="1">
      <alignment horizontal="center" vertical="top" wrapText="1"/>
      <protection hidden="1"/>
    </xf>
    <xf numFmtId="0" fontId="89" fillId="0" borderId="3" xfId="0" applyFont="1" applyBorder="1"/>
    <xf numFmtId="49" fontId="92" fillId="0" borderId="3" xfId="4" applyNumberFormat="1" applyFont="1" applyBorder="1" applyAlignment="1" applyProtection="1">
      <alignment horizontal="left" vertical="center" indent="1"/>
      <protection locked="0"/>
    </xf>
    <xf numFmtId="0" fontId="6" fillId="0" borderId="0" xfId="6" applyFont="1" applyAlignment="1" applyProtection="1">
      <alignment wrapText="1"/>
      <protection hidden="1"/>
    </xf>
    <xf numFmtId="0" fontId="91" fillId="11" borderId="0" xfId="6" applyFont="1" applyFill="1" applyAlignment="1" applyProtection="1">
      <alignment horizontal="center" wrapText="1"/>
      <protection hidden="1"/>
    </xf>
    <xf numFmtId="0" fontId="24" fillId="0" borderId="0" xfId="7" applyFont="1" applyAlignment="1" applyProtection="1">
      <alignment horizontal="center" vertical="top" wrapText="1"/>
      <protection locked="0"/>
    </xf>
    <xf numFmtId="3" fontId="59" fillId="8" borderId="17" xfId="10" applyNumberFormat="1" applyFont="1" applyFill="1" applyBorder="1" applyAlignment="1" applyProtection="1">
      <alignment horizontal="right" vertical="center"/>
      <protection locked="0"/>
    </xf>
    <xf numFmtId="3" fontId="59" fillId="8" borderId="18" xfId="10" applyNumberFormat="1" applyFont="1" applyFill="1" applyBorder="1" applyAlignment="1" applyProtection="1">
      <alignment horizontal="right" vertical="center"/>
      <protection locked="0"/>
    </xf>
    <xf numFmtId="4" fontId="59" fillId="8" borderId="20" xfId="10" applyNumberFormat="1" applyFont="1" applyFill="1" applyBorder="1" applyAlignment="1" applyProtection="1">
      <alignment horizontal="right" vertical="center"/>
      <protection locked="0"/>
    </xf>
    <xf numFmtId="4" fontId="59" fillId="8" borderId="0" xfId="10" applyNumberFormat="1" applyFont="1" applyFill="1" applyAlignment="1" applyProtection="1">
      <alignment horizontal="right" vertical="center"/>
      <protection locked="0"/>
    </xf>
    <xf numFmtId="0" fontId="82" fillId="0" borderId="0" xfId="8" applyFont="1" applyFill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39" fillId="0" borderId="0" xfId="15" applyFont="1" applyAlignment="1">
      <alignment horizontal="left" vertical="top" wrapText="1"/>
    </xf>
    <xf numFmtId="0" fontId="36" fillId="0" borderId="0" xfId="15" applyFont="1" applyAlignment="1">
      <alignment horizontal="left" vertical="top" wrapText="1" indent="2"/>
    </xf>
    <xf numFmtId="0" fontId="17" fillId="0" borderId="0" xfId="17" applyFont="1" applyAlignment="1">
      <alignment horizontal="left" vertical="top" wrapText="1"/>
    </xf>
    <xf numFmtId="0" fontId="36" fillId="0" borderId="0" xfId="15" applyFont="1" applyAlignment="1">
      <alignment horizontal="left" vertical="top" wrapText="1" indent="3"/>
    </xf>
    <xf numFmtId="0" fontId="36" fillId="0" borderId="0" xfId="15" quotePrefix="1" applyFont="1" applyAlignment="1">
      <alignment horizontal="left" vertical="top" wrapText="1" indent="4"/>
    </xf>
    <xf numFmtId="0" fontId="36" fillId="0" borderId="0" xfId="15" applyFont="1" applyAlignment="1">
      <alignment horizontal="left" vertical="top" wrapText="1" indent="4"/>
    </xf>
    <xf numFmtId="0" fontId="40" fillId="0" borderId="0" xfId="18" applyFont="1" applyAlignment="1">
      <alignment vertical="top" wrapText="1"/>
    </xf>
    <xf numFmtId="0" fontId="39" fillId="0" borderId="0" xfId="18" applyFont="1" applyAlignment="1">
      <alignment horizontal="left" vertical="top" wrapText="1"/>
    </xf>
    <xf numFmtId="0" fontId="12" fillId="2" borderId="17" xfId="13" applyFont="1" applyFill="1" applyBorder="1" applyAlignment="1" applyProtection="1">
      <alignment horizontal="left" vertical="top" wrapText="1"/>
      <protection hidden="1"/>
    </xf>
    <xf numFmtId="0" fontId="12" fillId="2" borderId="18" xfId="13" applyFont="1" applyFill="1" applyBorder="1" applyAlignment="1" applyProtection="1">
      <alignment horizontal="left" vertical="top" wrapText="1"/>
      <protection hidden="1"/>
    </xf>
    <xf numFmtId="0" fontId="12" fillId="2" borderId="19" xfId="13" applyFont="1" applyFill="1" applyBorder="1" applyAlignment="1" applyProtection="1">
      <alignment horizontal="left" vertical="top" wrapText="1"/>
      <protection hidden="1"/>
    </xf>
    <xf numFmtId="0" fontId="12" fillId="2" borderId="20" xfId="13" applyFont="1" applyFill="1" applyBorder="1" applyAlignment="1" applyProtection="1">
      <alignment horizontal="left" vertical="top" wrapText="1"/>
      <protection hidden="1"/>
    </xf>
    <xf numFmtId="0" fontId="12" fillId="2" borderId="0" xfId="13" applyFont="1" applyFill="1" applyAlignment="1" applyProtection="1">
      <alignment horizontal="left" vertical="top" wrapText="1"/>
      <protection hidden="1"/>
    </xf>
    <xf numFmtId="0" fontId="12" fillId="2" borderId="21" xfId="13" applyFont="1" applyFill="1" applyBorder="1" applyAlignment="1" applyProtection="1">
      <alignment horizontal="left" vertical="top" wrapText="1"/>
      <protection hidden="1"/>
    </xf>
    <xf numFmtId="0" fontId="12" fillId="2" borderId="22" xfId="13" applyFont="1" applyFill="1" applyBorder="1" applyAlignment="1" applyProtection="1">
      <alignment horizontal="left" vertical="top" wrapText="1"/>
      <protection hidden="1"/>
    </xf>
    <xf numFmtId="0" fontId="12" fillId="2" borderId="23" xfId="13" applyFont="1" applyFill="1" applyBorder="1" applyAlignment="1" applyProtection="1">
      <alignment horizontal="left" vertical="top" wrapText="1"/>
      <protection hidden="1"/>
    </xf>
    <xf numFmtId="0" fontId="12" fillId="2" borderId="24" xfId="13" applyFont="1" applyFill="1" applyBorder="1" applyAlignment="1" applyProtection="1">
      <alignment horizontal="left" vertical="top" wrapText="1"/>
      <protection hidden="1"/>
    </xf>
  </cellXfs>
  <cellStyles count="28">
    <cellStyle name="Normalny 2" xfId="24" xr:uid="{D45D5553-5EC0-4D73-9725-3C52A61E56FC}"/>
    <cellStyle name="Normalny_Arkusz1" xfId="19" xr:uid="{9CF388B4-A2BD-4EC0-B040-3E1D65BAEC82}"/>
    <cellStyle name="Гиперссылка" xfId="25" builtinId="8"/>
    <cellStyle name="Гиперссылка 2" xfId="8" xr:uid="{453BCD3D-41E9-46CB-AEE1-AEF39312D7C8}"/>
    <cellStyle name="Гиперссылка 2 2" xfId="23" xr:uid="{1ACF1049-0130-40DC-9006-FF7C56388460}"/>
    <cellStyle name="Обычный" xfId="0" builtinId="0"/>
    <cellStyle name="Обычный 11" xfId="6" xr:uid="{677D8109-E252-4B9B-A72C-CEAB48230A8F}"/>
    <cellStyle name="Обычный 2" xfId="2" xr:uid="{D5547BAC-5161-4D35-84ED-2ACEF8835AE4}"/>
    <cellStyle name="Обычный 2 2" xfId="14" xr:uid="{DD876A5E-2F7A-439A-A980-FED4615A93B1}"/>
    <cellStyle name="Обычный 2 2 2" xfId="7" xr:uid="{3BF89333-2828-4A03-8821-2DA31BFDD6D9}"/>
    <cellStyle name="Обычный 2 2 2 2" xfId="9" xr:uid="{0D9460C0-CD53-4E7A-9BDA-5F3BEC8D2D2F}"/>
    <cellStyle name="Обычный 2 2 3" xfId="4" xr:uid="{6BEEBF1F-B86C-49C9-A55D-9EB4FBF73987}"/>
    <cellStyle name="Обычный 2 3" xfId="11" xr:uid="{0021E64D-07A6-43A1-A232-4EB06548870D}"/>
    <cellStyle name="Обычный 2 3 2" xfId="1" xr:uid="{7CB56070-188D-47D2-BE23-621517443535}"/>
    <cellStyle name="Обычный 2 5 2 2 2 2" xfId="18" xr:uid="{841E6DAC-8E1D-47AD-B40F-93B3161C2BF8}"/>
    <cellStyle name="Обычный 2 5 2 2 3" xfId="21" xr:uid="{B2D1B672-EADB-4DCF-A706-D842C56CECCA}"/>
    <cellStyle name="Обычный 3" xfId="26" xr:uid="{749F2395-6D75-4CA3-AC31-9A9A7238A582}"/>
    <cellStyle name="Обычный 3 2" xfId="16" xr:uid="{BA5A218F-D478-489E-9F1D-3DD70979DB39}"/>
    <cellStyle name="Обычный 3 2 2" xfId="17" xr:uid="{2D57F9AE-19DE-4EEA-B3F4-2CC8F52C92E0}"/>
    <cellStyle name="Обычный 3 2 3" xfId="22" xr:uid="{089DFF40-B3E8-4801-AAEA-7812E4BE1BDF}"/>
    <cellStyle name="Обычный 4" xfId="27" xr:uid="{EE797068-4B76-4B21-8DEC-409709BB11FC}"/>
    <cellStyle name="Обычный 4 2" xfId="15" xr:uid="{8FFF7F3A-286B-4752-968B-27F1FB337284}"/>
    <cellStyle name="Обычный_Лист1" xfId="10" xr:uid="{9288ECFD-CBC1-42CD-910B-F238EFFCCA46}"/>
    <cellStyle name="Обычный_Лист1 2" xfId="13" xr:uid="{6EE13CEE-007C-4031-82D8-8A83AC9B1FC9}"/>
    <cellStyle name="Процентный" xfId="20" builtinId="5"/>
    <cellStyle name="Процентный 2" xfId="12" xr:uid="{16B07365-3FF8-43BD-8BF9-6C0C99FFF555}"/>
    <cellStyle name="Финансовый 2" xfId="3" xr:uid="{786DBEA9-601E-434C-8C00-3A95F8DEBE06}"/>
    <cellStyle name="Финансовый 3" xfId="5" xr:uid="{7D6C0572-2BE7-4FC2-B71E-52CA9E1E75BA}"/>
  </cellStyles>
  <dxfs count="8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CC66FF"/>
      <color rgb="FFFF99CC"/>
      <color rgb="FFF88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EC87BC-7A82-4B76-89C6-F3973D6EEAB3}"/>
            </a:ext>
          </a:extLst>
        </xdr:cNvPr>
        <xdr:cNvSpPr txBox="1"/>
      </xdr:nvSpPr>
      <xdr:spPr>
        <a:xfrm>
          <a:off x="613410" y="22151"/>
          <a:ext cx="8898255" cy="1562721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Московская область, Каширский район, дер. Барабаново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Тел.: +7 925 022 88 21;  +7 925 023 18 95;  +7 925 022 48 61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E-mail: opt1@sadovaypalitra.ru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opt2@sadovaypalitra.ru</a:t>
          </a:r>
          <a: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;  </a:t>
          </a:r>
          <a:r>
            <a:rPr lang="en-US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opt</a:t>
          </a:r>
          <a:r>
            <a:rPr lang="ru-RU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@sadovaypalitra.ru</a:t>
          </a:r>
          <a:br>
            <a:rPr lang="ru-RU" sz="100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</a:br>
          <a:endParaRPr lang="ru-RU" sz="1000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oneCellAnchor>
    <xdr:from>
      <xdr:col>1</xdr:col>
      <xdr:colOff>30125</xdr:colOff>
      <xdr:row>10</xdr:row>
      <xdr:rowOff>12847</xdr:rowOff>
    </xdr:from>
    <xdr:ext cx="7140652" cy="442579"/>
    <xdr:pic>
      <xdr:nvPicPr>
        <xdr:cNvPr id="3" name="Рисунок 2">
          <a:extLst>
            <a:ext uri="{FF2B5EF4-FFF2-40B4-BE49-F238E27FC236}">
              <a16:creationId xmlns:a16="http://schemas.microsoft.com/office/drawing/2014/main" id="{F9406046-1338-461C-964B-C10FA49B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485" y="1841647"/>
          <a:ext cx="7140652" cy="44257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0</xdr:rowOff>
    </xdr:from>
    <xdr:ext cx="2400631" cy="494010"/>
    <xdr:pic>
      <xdr:nvPicPr>
        <xdr:cNvPr id="4" name="Рисунок 3">
          <a:extLst>
            <a:ext uri="{FF2B5EF4-FFF2-40B4-BE49-F238E27FC236}">
              <a16:creationId xmlns:a16="http://schemas.microsoft.com/office/drawing/2014/main" id="{050D321E-D298-4F0E-861F-1AE480947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" y="9692640"/>
          <a:ext cx="2400631" cy="49401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0</xdr:rowOff>
    </xdr:from>
    <xdr:ext cx="2996706" cy="474957"/>
    <xdr:pic>
      <xdr:nvPicPr>
        <xdr:cNvPr id="5" name="Рисунок 4">
          <a:extLst>
            <a:ext uri="{FF2B5EF4-FFF2-40B4-BE49-F238E27FC236}">
              <a16:creationId xmlns:a16="http://schemas.microsoft.com/office/drawing/2014/main" id="{73076162-F81E-4CE7-8B56-67EF1293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3410" y="11704320"/>
          <a:ext cx="2996706" cy="474957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44302</xdr:rowOff>
    </xdr:from>
    <xdr:ext cx="7302602" cy="519360"/>
    <xdr:pic>
      <xdr:nvPicPr>
        <xdr:cNvPr id="6" name="Рисунок 5">
          <a:extLst>
            <a:ext uri="{FF2B5EF4-FFF2-40B4-BE49-F238E27FC236}">
              <a16:creationId xmlns:a16="http://schemas.microsoft.com/office/drawing/2014/main" id="{6EF4E398-ADB0-4AFF-A9CD-28BCA88F4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3410" y="4067662"/>
          <a:ext cx="7302602" cy="51936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11076</xdr:rowOff>
    </xdr:from>
    <xdr:ext cx="6377188" cy="522589"/>
    <xdr:pic>
      <xdr:nvPicPr>
        <xdr:cNvPr id="7" name="Рисунок 6">
          <a:extLst>
            <a:ext uri="{FF2B5EF4-FFF2-40B4-BE49-F238E27FC236}">
              <a16:creationId xmlns:a16="http://schemas.microsoft.com/office/drawing/2014/main" id="{B4383C51-123D-4EE8-B86B-1D481F32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3410" y="6777636"/>
          <a:ext cx="6377188" cy="52258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82</xdr:row>
      <xdr:rowOff>0</xdr:rowOff>
    </xdr:from>
    <xdr:ext cx="4861142" cy="474957"/>
    <xdr:pic>
      <xdr:nvPicPr>
        <xdr:cNvPr id="8" name="Рисунок 7">
          <a:extLst>
            <a:ext uri="{FF2B5EF4-FFF2-40B4-BE49-F238E27FC236}">
              <a16:creationId xmlns:a16="http://schemas.microsoft.com/office/drawing/2014/main" id="{EB40F5DA-6CE4-4F0F-806E-1A4DA9C07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3410" y="14996160"/>
          <a:ext cx="4861142" cy="474957"/>
        </a:xfrm>
        <a:prstGeom prst="rect">
          <a:avLst/>
        </a:prstGeom>
      </xdr:spPr>
    </xdr:pic>
    <xdr:clientData/>
  </xdr:oneCellAnchor>
  <xdr:oneCellAnchor>
    <xdr:from>
      <xdr:col>1</xdr:col>
      <xdr:colOff>22860</xdr:colOff>
      <xdr:row>50</xdr:row>
      <xdr:rowOff>76200</xdr:rowOff>
    </xdr:from>
    <xdr:ext cx="5461009" cy="470603"/>
    <xdr:pic>
      <xdr:nvPicPr>
        <xdr:cNvPr id="9" name="Рисунок 8">
          <a:extLst>
            <a:ext uri="{FF2B5EF4-FFF2-40B4-BE49-F238E27FC236}">
              <a16:creationId xmlns:a16="http://schemas.microsoft.com/office/drawing/2014/main" id="{110379D3-DE24-4349-A1C2-F7CE7DDD4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7220" y="9220200"/>
          <a:ext cx="5461009" cy="470603"/>
        </a:xfrm>
        <a:prstGeom prst="rect">
          <a:avLst/>
        </a:prstGeom>
      </xdr:spPr>
    </xdr:pic>
    <xdr:clientData/>
  </xdr:oneCellAnchor>
  <xdr:oneCellAnchor>
    <xdr:from>
      <xdr:col>14</xdr:col>
      <xdr:colOff>22860</xdr:colOff>
      <xdr:row>0</xdr:row>
      <xdr:rowOff>45720</xdr:rowOff>
    </xdr:from>
    <xdr:ext cx="1585089" cy="1524000"/>
    <xdr:pic>
      <xdr:nvPicPr>
        <xdr:cNvPr id="10" name="Рисунок 9">
          <a:extLst>
            <a:ext uri="{FF2B5EF4-FFF2-40B4-BE49-F238E27FC236}">
              <a16:creationId xmlns:a16="http://schemas.microsoft.com/office/drawing/2014/main" id="{590AF267-7053-4B54-8B14-636FF2B36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35240" y="45720"/>
          <a:ext cx="1585089" cy="1524000"/>
        </a:xfrm>
        <a:prstGeom prst="rect">
          <a:avLst/>
        </a:prstGeom>
      </xdr:spPr>
    </xdr:pic>
    <xdr:clientData/>
  </xdr:oneCellAnchor>
  <xdr:oneCellAnchor>
    <xdr:from>
      <xdr:col>1</xdr:col>
      <xdr:colOff>45719</xdr:colOff>
      <xdr:row>86</xdr:row>
      <xdr:rowOff>83820</xdr:rowOff>
    </xdr:from>
    <xdr:ext cx="8878502" cy="2339340"/>
    <xdr:pic>
      <xdr:nvPicPr>
        <xdr:cNvPr id="11" name="Рисунок 10">
          <a:extLst>
            <a:ext uri="{FF2B5EF4-FFF2-40B4-BE49-F238E27FC236}">
              <a16:creationId xmlns:a16="http://schemas.microsoft.com/office/drawing/2014/main" id="{4AE6C2B8-622E-4B61-BF99-F981D448F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4319" y="23911560"/>
          <a:ext cx="8878502" cy="2339340"/>
        </a:xfrm>
        <a:prstGeom prst="rect">
          <a:avLst/>
        </a:prstGeom>
      </xdr:spPr>
    </xdr:pic>
    <xdr:clientData/>
  </xdr:oneCellAnchor>
  <xdr:oneCellAnchor>
    <xdr:from>
      <xdr:col>3</xdr:col>
      <xdr:colOff>297180</xdr:colOff>
      <xdr:row>100</xdr:row>
      <xdr:rowOff>60960</xdr:rowOff>
    </xdr:from>
    <xdr:ext cx="6038095" cy="409524"/>
    <xdr:pic>
      <xdr:nvPicPr>
        <xdr:cNvPr id="12" name="Рисунок 11">
          <a:extLst>
            <a:ext uri="{FF2B5EF4-FFF2-40B4-BE49-F238E27FC236}">
              <a16:creationId xmlns:a16="http://schemas.microsoft.com/office/drawing/2014/main" id="{90D3BA26-4704-4F20-AA9C-13816E7AE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80260" y="18348960"/>
          <a:ext cx="6038095" cy="4095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448234</xdr:colOff>
      <xdr:row>0</xdr:row>
      <xdr:rowOff>170329</xdr:rowOff>
    </xdr:from>
    <xdr:to>
      <xdr:col>11</xdr:col>
      <xdr:colOff>412376</xdr:colOff>
      <xdr:row>18</xdr:row>
      <xdr:rowOff>92698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22342E5-DB46-4A0C-A547-D5860B17C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493" y="170329"/>
          <a:ext cx="2590801" cy="2441451"/>
        </a:xfrm>
        <a:prstGeom prst="rect">
          <a:avLst/>
        </a:prstGeom>
      </xdr:spPr>
    </xdr:pic>
    <xdr:clientData/>
  </xdr:twoCellAnchor>
  <xdr:twoCellAnchor editAs="oneCell">
    <xdr:from>
      <xdr:col>23</xdr:col>
      <xdr:colOff>161369</xdr:colOff>
      <xdr:row>0</xdr:row>
      <xdr:rowOff>98611</xdr:rowOff>
    </xdr:from>
    <xdr:to>
      <xdr:col>24</xdr:col>
      <xdr:colOff>408801</xdr:colOff>
      <xdr:row>10</xdr:row>
      <xdr:rowOff>26893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DB81F0-9040-5978-58CE-7207189D6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70545" y="98611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24</xdr:col>
      <xdr:colOff>519955</xdr:colOff>
      <xdr:row>0</xdr:row>
      <xdr:rowOff>69991</xdr:rowOff>
    </xdr:from>
    <xdr:to>
      <xdr:col>26</xdr:col>
      <xdr:colOff>959224</xdr:colOff>
      <xdr:row>10</xdr:row>
      <xdr:rowOff>217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6391B1A-5DE6-99DD-0B3C-308026C4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61461" y="69991"/>
          <a:ext cx="1165410" cy="1158391"/>
        </a:xfrm>
        <a:prstGeom prst="rect">
          <a:avLst/>
        </a:prstGeom>
      </xdr:spPr>
    </xdr:pic>
    <xdr:clientData/>
  </xdr:twoCellAnchor>
  <xdr:twoCellAnchor editAs="oneCell">
    <xdr:from>
      <xdr:col>11</xdr:col>
      <xdr:colOff>8963</xdr:colOff>
      <xdr:row>198</xdr:row>
      <xdr:rowOff>116541</xdr:rowOff>
    </xdr:from>
    <xdr:to>
      <xdr:col>11</xdr:col>
      <xdr:colOff>1271194</xdr:colOff>
      <xdr:row>204</xdr:row>
      <xdr:rowOff>171421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5B70729-1107-49B6-BFA3-6B514EE31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3881" y="645718800"/>
          <a:ext cx="1262231" cy="1256151"/>
        </a:xfrm>
        <a:prstGeom prst="rect">
          <a:avLst/>
        </a:prstGeom>
      </xdr:spPr>
    </xdr:pic>
    <xdr:clientData/>
  </xdr:twoCellAnchor>
  <xdr:twoCellAnchor editAs="oneCell">
    <xdr:from>
      <xdr:col>14</xdr:col>
      <xdr:colOff>71719</xdr:colOff>
      <xdr:row>198</xdr:row>
      <xdr:rowOff>172053</xdr:rowOff>
    </xdr:from>
    <xdr:to>
      <xdr:col>17</xdr:col>
      <xdr:colOff>184681</xdr:colOff>
      <xdr:row>204</xdr:row>
      <xdr:rowOff>127229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6D7BA3C-C82C-4A0C-8DBC-08A2C7CC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66966" y="645774312"/>
          <a:ext cx="1179762" cy="1156447"/>
        </a:xfrm>
        <a:prstGeom prst="rect">
          <a:avLst/>
        </a:prstGeom>
      </xdr:spPr>
    </xdr:pic>
    <xdr:clientData/>
  </xdr:twoCellAnchor>
  <xdr:twoCellAnchor editAs="oneCell">
    <xdr:from>
      <xdr:col>17</xdr:col>
      <xdr:colOff>708211</xdr:colOff>
      <xdr:row>198</xdr:row>
      <xdr:rowOff>143435</xdr:rowOff>
    </xdr:from>
    <xdr:to>
      <xdr:col>19</xdr:col>
      <xdr:colOff>80680</xdr:colOff>
      <xdr:row>204</xdr:row>
      <xdr:rowOff>100555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346862F-C7C0-4C62-BD0F-76D837376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0258" y="645745694"/>
          <a:ext cx="1165410" cy="115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8;&#1072;&#1073;&#1086;&#1090;&#1072;_&#1087;&#1083;&#1072;&#1085;&#1090;&#1084;&#1072;&#1088;&#1082;&#1077;&#1090;\&#1046;&#1072;&#1085;&#1085;&#1077;&#1090;\2021\&#1089;&#1077;&#1085;&#1090;&#1103;&#1073;&#1088;&#1100;\909\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dovaypalitra.ru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C8C1-E7B4-4A57-A878-2DBAE69840D4}">
  <dimension ref="B1:BH104"/>
  <sheetViews>
    <sheetView showGridLines="0" topLeftCell="A52" workbookViewId="0"/>
  </sheetViews>
  <sheetFormatPr defaultColWidth="8.6640625" defaultRowHeight="14.4"/>
  <cols>
    <col min="1" max="1" width="1.33203125" style="9" customWidth="1"/>
    <col min="2" max="2" width="5.6640625" style="9" customWidth="1"/>
    <col min="3" max="14" width="8.6640625" style="9"/>
    <col min="15" max="15" width="18.33203125" style="9" customWidth="1"/>
    <col min="16" max="16" width="8.109375" style="9" customWidth="1"/>
    <col min="17" max="16384" width="8.6640625" style="9"/>
  </cols>
  <sheetData>
    <row r="1" spans="2:18" ht="15" thickTop="1"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2:18">
      <c r="B2" s="10"/>
      <c r="P2" s="11"/>
    </row>
    <row r="3" spans="2:18">
      <c r="B3" s="10"/>
      <c r="P3" s="11"/>
    </row>
    <row r="4" spans="2:18">
      <c r="B4" s="10"/>
      <c r="P4" s="11"/>
    </row>
    <row r="5" spans="2:18" ht="18">
      <c r="B5" s="10"/>
      <c r="P5" s="11"/>
      <c r="R5" s="50"/>
    </row>
    <row r="6" spans="2:18" s="14" customFormat="1" ht="16.5" customHeight="1">
      <c r="B6" s="12"/>
      <c r="C6" s="13"/>
      <c r="P6" s="15"/>
    </row>
    <row r="7" spans="2:18" s="16" customFormat="1" ht="12" customHeight="1">
      <c r="B7" s="12"/>
      <c r="C7" s="13"/>
      <c r="P7" s="17"/>
    </row>
    <row r="8" spans="2:18" ht="12" customHeight="1">
      <c r="B8" s="10"/>
      <c r="C8" s="13"/>
      <c r="P8" s="11"/>
    </row>
    <row r="9" spans="2:18" ht="12" customHeight="1">
      <c r="B9" s="18"/>
      <c r="C9" s="13"/>
      <c r="P9" s="11"/>
    </row>
    <row r="10" spans="2:18" ht="12" customHeight="1">
      <c r="B10" s="18"/>
      <c r="C10" s="13"/>
      <c r="P10" s="11"/>
    </row>
    <row r="11" spans="2:18" ht="16.5" customHeight="1">
      <c r="B11" s="10"/>
      <c r="P11" s="11"/>
    </row>
    <row r="12" spans="2:18" ht="20.25" customHeight="1">
      <c r="B12" s="10"/>
      <c r="P12" s="11"/>
    </row>
    <row r="13" spans="2:18" s="21" customFormat="1" ht="17.25" customHeight="1">
      <c r="B13" s="19" t="s">
        <v>81</v>
      </c>
      <c r="C13" s="20" t="s">
        <v>82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P13" s="22"/>
    </row>
    <row r="14" spans="2:18" s="27" customFormat="1" ht="15.6">
      <c r="B14" s="23" t="s">
        <v>140</v>
      </c>
      <c r="C14" s="24"/>
      <c r="D14" s="25"/>
      <c r="E14" s="25"/>
      <c r="F14" s="25"/>
      <c r="G14" s="25"/>
      <c r="H14" s="26" t="s">
        <v>139</v>
      </c>
      <c r="I14" s="24"/>
      <c r="J14" s="25"/>
      <c r="K14" s="25"/>
      <c r="L14" s="25"/>
      <c r="M14" s="25"/>
      <c r="N14" s="25"/>
      <c r="P14" s="28"/>
    </row>
    <row r="15" spans="2:18" s="27" customFormat="1">
      <c r="B15" s="29"/>
      <c r="C15" s="30" t="s">
        <v>83</v>
      </c>
      <c r="D15" s="25"/>
      <c r="E15" s="25"/>
      <c r="F15" s="25"/>
      <c r="G15" s="25"/>
      <c r="H15" s="31" t="s">
        <v>84</v>
      </c>
      <c r="I15" s="32" t="s">
        <v>85</v>
      </c>
      <c r="J15" s="25"/>
      <c r="K15" s="25"/>
      <c r="L15" s="25"/>
      <c r="M15" s="25"/>
      <c r="N15" s="25"/>
      <c r="P15" s="28"/>
    </row>
    <row r="16" spans="2:18" s="27" customFormat="1">
      <c r="B16" s="29"/>
      <c r="C16" s="30" t="s">
        <v>86</v>
      </c>
      <c r="D16" s="25"/>
      <c r="E16" s="25"/>
      <c r="F16" s="25"/>
      <c r="G16" s="25"/>
      <c r="H16" s="31" t="s">
        <v>84</v>
      </c>
      <c r="I16" s="32" t="s">
        <v>87</v>
      </c>
      <c r="J16" s="25"/>
      <c r="K16" s="25"/>
      <c r="L16" s="25"/>
      <c r="M16" s="25"/>
      <c r="N16" s="25"/>
      <c r="P16" s="28"/>
    </row>
    <row r="17" spans="2:22" s="27" customFormat="1">
      <c r="B17" s="29"/>
      <c r="C17" s="30" t="s">
        <v>88</v>
      </c>
      <c r="D17" s="25"/>
      <c r="E17" s="25"/>
      <c r="F17" s="25"/>
      <c r="G17" s="25"/>
      <c r="H17" s="31" t="s">
        <v>84</v>
      </c>
      <c r="I17" s="32" t="s">
        <v>89</v>
      </c>
      <c r="J17" s="25"/>
      <c r="K17" s="25"/>
      <c r="L17" s="25"/>
      <c r="M17" s="25"/>
      <c r="N17" s="25"/>
      <c r="P17" s="28"/>
    </row>
    <row r="18" spans="2:22" s="27" customFormat="1">
      <c r="B18" s="29"/>
      <c r="C18" s="30" t="s">
        <v>90</v>
      </c>
      <c r="D18" s="25"/>
      <c r="E18" s="25"/>
      <c r="F18" s="25"/>
      <c r="G18" s="25"/>
      <c r="H18" s="31" t="s">
        <v>84</v>
      </c>
      <c r="I18" s="32" t="s">
        <v>91</v>
      </c>
      <c r="J18" s="25"/>
      <c r="K18" s="25"/>
      <c r="L18" s="25"/>
      <c r="M18" s="25"/>
      <c r="N18" s="25"/>
      <c r="P18" s="28"/>
      <c r="V18" s="33"/>
    </row>
    <row r="19" spans="2:22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P19" s="11"/>
    </row>
    <row r="20" spans="2:22" ht="15.6">
      <c r="B20" s="19" t="s">
        <v>81</v>
      </c>
      <c r="C20" s="20" t="s">
        <v>92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P20" s="11"/>
    </row>
    <row r="21" spans="2:22" s="27" customFormat="1">
      <c r="B21" s="29"/>
      <c r="C21" s="30" t="s">
        <v>253</v>
      </c>
      <c r="D21" s="25"/>
      <c r="E21" s="25"/>
      <c r="F21" s="25"/>
      <c r="G21" s="25"/>
      <c r="H21" s="31"/>
      <c r="I21" s="32"/>
      <c r="J21" s="25"/>
      <c r="K21" s="25"/>
      <c r="L21" s="25"/>
      <c r="M21" s="25"/>
      <c r="N21" s="25"/>
      <c r="P21" s="28"/>
    </row>
    <row r="22" spans="2:22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P22" s="11"/>
    </row>
    <row r="23" spans="2:22">
      <c r="B23" s="36"/>
      <c r="P23" s="11"/>
    </row>
    <row r="24" spans="2:22">
      <c r="B24" s="36"/>
      <c r="P24" s="11"/>
    </row>
    <row r="25" spans="2:22">
      <c r="B25" s="36"/>
      <c r="P25" s="11"/>
    </row>
    <row r="26" spans="2:22" s="39" customFormat="1" ht="17.399999999999999" customHeight="1">
      <c r="B26" s="37" t="s">
        <v>81</v>
      </c>
      <c r="C26" s="38" t="s">
        <v>93</v>
      </c>
      <c r="P26" s="40"/>
    </row>
    <row r="27" spans="2:22">
      <c r="B27" s="36"/>
      <c r="C27" s="30" t="s">
        <v>94</v>
      </c>
      <c r="P27" s="11"/>
    </row>
    <row r="28" spans="2:22">
      <c r="B28" s="36"/>
      <c r="C28" s="30" t="s">
        <v>95</v>
      </c>
      <c r="P28" s="11"/>
    </row>
    <row r="29" spans="2:22" s="39" customFormat="1" ht="15.6">
      <c r="B29" s="37" t="s">
        <v>81</v>
      </c>
      <c r="C29" s="38" t="s">
        <v>96</v>
      </c>
      <c r="P29" s="40"/>
    </row>
    <row r="30" spans="2:22" s="44" customFormat="1" ht="58.2" customHeight="1">
      <c r="B30" s="41" t="s">
        <v>81</v>
      </c>
      <c r="C30" s="302" t="s">
        <v>97</v>
      </c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  <c r="O30" s="302"/>
      <c r="P30" s="43"/>
    </row>
    <row r="31" spans="2:22">
      <c r="B31" s="36"/>
      <c r="C31" s="303" t="s">
        <v>98</v>
      </c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11"/>
    </row>
    <row r="32" spans="2:22" ht="29.25" customHeight="1">
      <c r="B32" s="36"/>
      <c r="C32" s="306" t="s">
        <v>99</v>
      </c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307"/>
      <c r="P32" s="11"/>
    </row>
    <row r="33" spans="2:16" ht="30" customHeight="1">
      <c r="B33" s="36"/>
      <c r="C33" s="306" t="s">
        <v>100</v>
      </c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11"/>
    </row>
    <row r="34" spans="2:16" s="39" customFormat="1" ht="36" customHeight="1">
      <c r="B34" s="41" t="s">
        <v>81</v>
      </c>
      <c r="C34" s="302" t="s">
        <v>101</v>
      </c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40"/>
    </row>
    <row r="35" spans="2:16" ht="29.25" customHeight="1">
      <c r="B35" s="36"/>
      <c r="C35" s="303" t="s">
        <v>102</v>
      </c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11"/>
    </row>
    <row r="36" spans="2:16" ht="29.25" customHeight="1">
      <c r="B36" s="36"/>
      <c r="C36" s="303" t="s">
        <v>103</v>
      </c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11"/>
    </row>
    <row r="37" spans="2:16" s="39" customFormat="1" ht="38.4" customHeight="1">
      <c r="B37" s="41" t="s">
        <v>81</v>
      </c>
      <c r="C37" s="302" t="s">
        <v>265</v>
      </c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40"/>
    </row>
    <row r="38" spans="2:16">
      <c r="B38" s="36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11"/>
    </row>
    <row r="39" spans="2:16">
      <c r="B39" s="36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11"/>
    </row>
    <row r="40" spans="2:16">
      <c r="B40" s="36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11"/>
    </row>
    <row r="41" spans="2:16" ht="28.5" customHeight="1">
      <c r="B41" s="41" t="s">
        <v>81</v>
      </c>
      <c r="C41" s="302" t="s">
        <v>104</v>
      </c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11"/>
    </row>
    <row r="42" spans="2:16" s="44" customFormat="1" ht="15">
      <c r="B42" s="41" t="s">
        <v>81</v>
      </c>
      <c r="C42" s="302" t="s">
        <v>105</v>
      </c>
      <c r="D42" s="302"/>
      <c r="E42" s="302"/>
      <c r="F42" s="302"/>
      <c r="G42" s="302"/>
      <c r="H42" s="302"/>
      <c r="I42" s="302"/>
      <c r="J42" s="302"/>
      <c r="K42" s="302"/>
      <c r="L42" s="302"/>
      <c r="M42" s="302"/>
      <c r="N42" s="302"/>
      <c r="O42" s="302"/>
      <c r="P42" s="43"/>
    </row>
    <row r="43" spans="2:16" ht="55.2" customHeight="1">
      <c r="B43" s="36"/>
      <c r="C43" s="303" t="s">
        <v>106</v>
      </c>
      <c r="D43" s="303"/>
      <c r="E43" s="303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11"/>
    </row>
    <row r="44" spans="2:16" s="44" customFormat="1" ht="15">
      <c r="B44" s="41" t="s">
        <v>81</v>
      </c>
      <c r="C44" s="302" t="s">
        <v>107</v>
      </c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43"/>
    </row>
    <row r="45" spans="2:16" ht="29.25" customHeight="1">
      <c r="B45" s="36"/>
      <c r="C45" s="303" t="s">
        <v>108</v>
      </c>
      <c r="D45" s="303"/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11"/>
    </row>
    <row r="46" spans="2:16" s="44" customFormat="1" ht="30" customHeight="1">
      <c r="B46" s="41" t="s">
        <v>81</v>
      </c>
      <c r="C46" s="302" t="s">
        <v>109</v>
      </c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02"/>
      <c r="P46" s="43"/>
    </row>
    <row r="47" spans="2:16" ht="30.75" customHeight="1">
      <c r="B47" s="36"/>
      <c r="C47" s="303" t="s">
        <v>110</v>
      </c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11"/>
    </row>
    <row r="48" spans="2:16" ht="41.7" customHeight="1">
      <c r="B48" s="36"/>
      <c r="C48" s="303" t="s">
        <v>111</v>
      </c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11"/>
    </row>
    <row r="49" spans="2:16" ht="42" customHeight="1">
      <c r="B49" s="36"/>
      <c r="C49" s="303" t="s">
        <v>112</v>
      </c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11"/>
    </row>
    <row r="50" spans="2:16" ht="42" customHeight="1">
      <c r="B50" s="41" t="s">
        <v>81</v>
      </c>
      <c r="C50" s="302" t="s">
        <v>113</v>
      </c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02"/>
      <c r="P50" s="11"/>
    </row>
    <row r="51" spans="2:16" ht="47.55" customHeight="1"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11"/>
    </row>
    <row r="52" spans="2:16" ht="18.45" customHeight="1">
      <c r="B52" s="41" t="s">
        <v>81</v>
      </c>
      <c r="C52" s="308" t="s">
        <v>138</v>
      </c>
      <c r="D52" s="308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11"/>
    </row>
    <row r="53" spans="2:16" ht="30.75" customHeight="1">
      <c r="B53" s="41" t="s">
        <v>81</v>
      </c>
      <c r="C53" s="309" t="s">
        <v>137</v>
      </c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11"/>
    </row>
    <row r="54" spans="2:16">
      <c r="B54" s="36"/>
      <c r="P54" s="11"/>
    </row>
    <row r="55" spans="2:16">
      <c r="B55" s="36"/>
      <c r="P55" s="11"/>
    </row>
    <row r="56" spans="2:16">
      <c r="B56" s="36"/>
      <c r="P56" s="11"/>
    </row>
    <row r="57" spans="2:16" ht="17.25" customHeight="1">
      <c r="B57" s="41" t="s">
        <v>81</v>
      </c>
      <c r="C57" s="302" t="s">
        <v>114</v>
      </c>
      <c r="D57" s="302"/>
      <c r="E57" s="302"/>
      <c r="F57" s="302"/>
      <c r="G57" s="302"/>
      <c r="H57" s="302"/>
      <c r="I57" s="302"/>
      <c r="J57" s="302"/>
      <c r="K57" s="302"/>
      <c r="L57" s="302"/>
      <c r="M57" s="302"/>
      <c r="N57" s="302"/>
      <c r="O57" s="302"/>
      <c r="P57" s="11"/>
    </row>
    <row r="58" spans="2:16">
      <c r="B58" s="36"/>
      <c r="C58" s="303" t="s">
        <v>115</v>
      </c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11"/>
    </row>
    <row r="59" spans="2:16">
      <c r="B59" s="36"/>
      <c r="C59" s="303" t="s">
        <v>116</v>
      </c>
      <c r="D59" s="303"/>
      <c r="E59" s="303"/>
      <c r="F59" s="303"/>
      <c r="G59" s="303"/>
      <c r="H59" s="303"/>
      <c r="I59" s="303"/>
      <c r="J59" s="303"/>
      <c r="K59" s="303"/>
      <c r="L59" s="303"/>
      <c r="M59" s="303"/>
      <c r="N59" s="303"/>
      <c r="O59" s="303"/>
      <c r="P59" s="11"/>
    </row>
    <row r="60" spans="2:16" ht="43.95" customHeight="1">
      <c r="B60" s="41" t="s">
        <v>81</v>
      </c>
      <c r="C60" s="302" t="s">
        <v>117</v>
      </c>
      <c r="D60" s="302"/>
      <c r="E60" s="302"/>
      <c r="F60" s="302"/>
      <c r="G60" s="302"/>
      <c r="H60" s="302"/>
      <c r="I60" s="302"/>
      <c r="J60" s="302"/>
      <c r="K60" s="302"/>
      <c r="L60" s="302"/>
      <c r="M60" s="302"/>
      <c r="N60" s="302"/>
      <c r="O60" s="302"/>
      <c r="P60" s="11"/>
    </row>
    <row r="61" spans="2:16" ht="31.5" customHeight="1">
      <c r="B61" s="41"/>
      <c r="C61" s="303" t="s">
        <v>118</v>
      </c>
      <c r="D61" s="303"/>
      <c r="E61" s="303"/>
      <c r="F61" s="303"/>
      <c r="G61" s="303"/>
      <c r="H61" s="303"/>
      <c r="I61" s="303"/>
      <c r="J61" s="303"/>
      <c r="K61" s="303"/>
      <c r="L61" s="303"/>
      <c r="M61" s="303"/>
      <c r="N61" s="303"/>
      <c r="O61" s="303"/>
      <c r="P61" s="11"/>
    </row>
    <row r="62" spans="2:16" ht="29.25" customHeight="1">
      <c r="B62" s="41"/>
      <c r="C62" s="303" t="s">
        <v>119</v>
      </c>
      <c r="D62" s="303"/>
      <c r="E62" s="303"/>
      <c r="F62" s="303"/>
      <c r="G62" s="303"/>
      <c r="H62" s="303"/>
      <c r="I62" s="303"/>
      <c r="J62" s="303"/>
      <c r="K62" s="303"/>
      <c r="L62" s="303"/>
      <c r="M62" s="303"/>
      <c r="N62" s="303"/>
      <c r="O62" s="303"/>
      <c r="P62" s="11"/>
    </row>
    <row r="63" spans="2:16">
      <c r="B63" s="36"/>
      <c r="C63" s="303" t="s">
        <v>120</v>
      </c>
      <c r="D63" s="303"/>
      <c r="E63" s="303"/>
      <c r="F63" s="303"/>
      <c r="G63" s="303"/>
      <c r="H63" s="303"/>
      <c r="I63" s="303"/>
      <c r="J63" s="303"/>
      <c r="K63" s="303"/>
      <c r="L63" s="303"/>
      <c r="M63" s="303"/>
      <c r="N63" s="303"/>
      <c r="O63" s="303"/>
      <c r="P63" s="11"/>
    </row>
    <row r="64" spans="2:16">
      <c r="B64" s="36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11"/>
    </row>
    <row r="65" spans="2:60">
      <c r="B65" s="36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11"/>
    </row>
    <row r="66" spans="2:60">
      <c r="B66" s="36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11"/>
    </row>
    <row r="67" spans="2:60">
      <c r="B67" s="36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11"/>
    </row>
    <row r="68" spans="2:60" ht="45" customHeight="1">
      <c r="B68" s="41" t="s">
        <v>81</v>
      </c>
      <c r="C68" s="302" t="s">
        <v>121</v>
      </c>
      <c r="D68" s="302"/>
      <c r="E68" s="302"/>
      <c r="F68" s="302"/>
      <c r="G68" s="302"/>
      <c r="H68" s="302"/>
      <c r="I68" s="302"/>
      <c r="J68" s="302"/>
      <c r="K68" s="302"/>
      <c r="L68" s="302"/>
      <c r="M68" s="302"/>
      <c r="N68" s="302"/>
      <c r="O68" s="302"/>
      <c r="P68" s="11"/>
    </row>
    <row r="69" spans="2:60" ht="29.25" customHeight="1">
      <c r="B69" s="41"/>
      <c r="C69" s="303" t="s">
        <v>122</v>
      </c>
      <c r="D69" s="303"/>
      <c r="E69" s="303"/>
      <c r="F69" s="303"/>
      <c r="G69" s="303"/>
      <c r="H69" s="303"/>
      <c r="I69" s="303"/>
      <c r="J69" s="303"/>
      <c r="K69" s="303"/>
      <c r="L69" s="303"/>
      <c r="M69" s="303"/>
      <c r="N69" s="303"/>
      <c r="O69" s="303"/>
      <c r="P69" s="11"/>
    </row>
    <row r="70" spans="2:60" ht="15">
      <c r="B70" s="41" t="s">
        <v>81</v>
      </c>
      <c r="C70" s="302" t="s">
        <v>123</v>
      </c>
      <c r="D70" s="302"/>
      <c r="E70" s="302"/>
      <c r="F70" s="302"/>
      <c r="G70" s="302"/>
      <c r="H70" s="302"/>
      <c r="I70" s="302"/>
      <c r="J70" s="302"/>
      <c r="K70" s="302"/>
      <c r="L70" s="302"/>
      <c r="M70" s="302"/>
      <c r="N70" s="302"/>
      <c r="O70" s="302"/>
      <c r="P70" s="11"/>
    </row>
    <row r="71" spans="2:60" ht="15">
      <c r="B71" s="41"/>
      <c r="C71" s="303" t="s">
        <v>124</v>
      </c>
      <c r="D71" s="303"/>
      <c r="E71" s="303"/>
      <c r="F71" s="303"/>
      <c r="G71" s="303"/>
      <c r="H71" s="303"/>
      <c r="I71" s="303"/>
      <c r="J71" s="303"/>
      <c r="K71" s="303"/>
      <c r="L71" s="303"/>
      <c r="M71" s="303"/>
      <c r="N71" s="303"/>
      <c r="O71" s="303"/>
      <c r="P71" s="11"/>
    </row>
    <row r="72" spans="2:60" ht="59.25" customHeight="1">
      <c r="B72" s="41"/>
      <c r="C72" s="303" t="s">
        <v>125</v>
      </c>
      <c r="D72" s="303"/>
      <c r="E72" s="303"/>
      <c r="F72" s="303"/>
      <c r="G72" s="303"/>
      <c r="H72" s="303"/>
      <c r="I72" s="303"/>
      <c r="J72" s="303"/>
      <c r="K72" s="303"/>
      <c r="L72" s="303"/>
      <c r="M72" s="303"/>
      <c r="N72" s="303"/>
      <c r="O72" s="303"/>
      <c r="P72" s="11"/>
      <c r="S72" s="304"/>
      <c r="T72" s="304"/>
      <c r="U72" s="304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04"/>
      <c r="AG72" s="304"/>
      <c r="AH72" s="304"/>
      <c r="AI72" s="304"/>
      <c r="AJ72" s="304"/>
      <c r="AK72" s="304"/>
      <c r="AL72" s="304"/>
      <c r="AM72" s="304"/>
      <c r="AN72" s="304"/>
      <c r="AO72" s="304"/>
      <c r="AP72" s="304"/>
      <c r="AQ72" s="304"/>
      <c r="AR72" s="304"/>
      <c r="AS72" s="304"/>
      <c r="AT72" s="304"/>
      <c r="AU72" s="304"/>
      <c r="AV72" s="304"/>
      <c r="AW72" s="304"/>
      <c r="AX72" s="304"/>
      <c r="AY72" s="304"/>
      <c r="AZ72" s="304"/>
      <c r="BA72" s="304"/>
      <c r="BB72" s="304"/>
      <c r="BC72" s="304"/>
      <c r="BD72" s="304"/>
      <c r="BE72" s="304"/>
      <c r="BF72" s="304"/>
      <c r="BG72" s="304"/>
      <c r="BH72" s="304"/>
    </row>
    <row r="73" spans="2:60">
      <c r="B73" s="36"/>
      <c r="C73" s="303" t="s">
        <v>126</v>
      </c>
      <c r="D73" s="303"/>
      <c r="E73" s="303"/>
      <c r="F73" s="303"/>
      <c r="G73" s="303"/>
      <c r="H73" s="303"/>
      <c r="I73" s="303"/>
      <c r="J73" s="303"/>
      <c r="K73" s="303"/>
      <c r="L73" s="303"/>
      <c r="M73" s="303"/>
      <c r="N73" s="303"/>
      <c r="O73" s="303"/>
      <c r="P73" s="11"/>
      <c r="S73" s="304"/>
      <c r="T73" s="30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</row>
    <row r="74" spans="2:60">
      <c r="B74" s="36"/>
      <c r="C74" s="305" t="s">
        <v>127</v>
      </c>
      <c r="D74" s="305"/>
      <c r="E74" s="305"/>
      <c r="F74" s="305"/>
      <c r="G74" s="305"/>
      <c r="H74" s="305"/>
      <c r="I74" s="305"/>
      <c r="J74" s="305"/>
      <c r="K74" s="305"/>
      <c r="L74" s="305"/>
      <c r="M74" s="305"/>
      <c r="N74" s="305"/>
      <c r="O74" s="305"/>
      <c r="P74" s="11"/>
      <c r="S74" s="304"/>
      <c r="T74" s="304"/>
      <c r="U74" s="304"/>
      <c r="V74" s="304"/>
      <c r="W74" s="304"/>
      <c r="X74" s="304"/>
      <c r="Y74" s="304"/>
      <c r="Z74" s="304"/>
      <c r="AA74" s="304"/>
      <c r="AB74" s="304"/>
      <c r="AC74" s="304"/>
      <c r="AD74" s="304"/>
      <c r="AE74" s="304"/>
      <c r="AF74" s="304"/>
      <c r="AG74" s="304"/>
      <c r="AH74" s="304"/>
      <c r="AI74" s="304"/>
      <c r="AJ74" s="304"/>
      <c r="AK74" s="304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4"/>
      <c r="AY74" s="304"/>
      <c r="AZ74" s="304"/>
      <c r="BA74" s="304"/>
      <c r="BB74" s="304"/>
      <c r="BC74" s="304"/>
      <c r="BD74" s="304"/>
      <c r="BE74" s="304"/>
      <c r="BF74" s="304"/>
      <c r="BG74" s="304"/>
      <c r="BH74" s="304"/>
    </row>
    <row r="75" spans="2:60">
      <c r="B75" s="36"/>
      <c r="C75" s="305" t="s">
        <v>128</v>
      </c>
      <c r="D75" s="305"/>
      <c r="E75" s="305"/>
      <c r="F75" s="305"/>
      <c r="G75" s="305"/>
      <c r="H75" s="305"/>
      <c r="I75" s="305"/>
      <c r="J75" s="305"/>
      <c r="K75" s="305"/>
      <c r="L75" s="305"/>
      <c r="M75" s="305"/>
      <c r="N75" s="305"/>
      <c r="O75" s="305"/>
      <c r="P75" s="11"/>
      <c r="S75" s="304" t="s">
        <v>129</v>
      </c>
      <c r="T75" s="30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</row>
    <row r="76" spans="2:60">
      <c r="B76" s="36"/>
      <c r="C76" s="306" t="s">
        <v>130</v>
      </c>
      <c r="D76" s="307"/>
      <c r="E76" s="307"/>
      <c r="F76" s="307"/>
      <c r="G76" s="307"/>
      <c r="H76" s="307"/>
      <c r="I76" s="307"/>
      <c r="J76" s="307"/>
      <c r="K76" s="307"/>
      <c r="L76" s="307"/>
      <c r="M76" s="307"/>
      <c r="N76" s="307"/>
      <c r="O76" s="307"/>
      <c r="P76" s="11"/>
      <c r="S76" s="304"/>
      <c r="T76" s="30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</row>
    <row r="77" spans="2:60" ht="30.75" customHeight="1">
      <c r="B77" s="36"/>
      <c r="C77" s="303" t="s">
        <v>131</v>
      </c>
      <c r="D77" s="303"/>
      <c r="E77" s="303"/>
      <c r="F77" s="303"/>
      <c r="G77" s="303"/>
      <c r="H77" s="303"/>
      <c r="I77" s="303"/>
      <c r="J77" s="303"/>
      <c r="K77" s="303"/>
      <c r="L77" s="303"/>
      <c r="M77" s="303"/>
      <c r="N77" s="303"/>
      <c r="O77" s="303"/>
      <c r="P77" s="11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</row>
    <row r="78" spans="2:60">
      <c r="B78" s="36"/>
      <c r="C78" s="303" t="s">
        <v>132</v>
      </c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  <c r="O78" s="303"/>
      <c r="P78" s="11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</row>
    <row r="79" spans="2:60" ht="45" customHeight="1">
      <c r="B79" s="41" t="s">
        <v>81</v>
      </c>
      <c r="C79" s="302" t="s">
        <v>133</v>
      </c>
      <c r="D79" s="302"/>
      <c r="E79" s="302"/>
      <c r="F79" s="302"/>
      <c r="G79" s="302"/>
      <c r="H79" s="302"/>
      <c r="I79" s="302"/>
      <c r="J79" s="302"/>
      <c r="K79" s="302"/>
      <c r="L79" s="302"/>
      <c r="M79" s="302"/>
      <c r="N79" s="302"/>
      <c r="O79" s="302"/>
      <c r="P79" s="11"/>
    </row>
    <row r="80" spans="2:60" ht="30" customHeight="1">
      <c r="B80" s="36"/>
      <c r="C80" s="303" t="s">
        <v>134</v>
      </c>
      <c r="D80" s="303"/>
      <c r="E80" s="303"/>
      <c r="F80" s="303"/>
      <c r="G80" s="303"/>
      <c r="H80" s="303"/>
      <c r="I80" s="303"/>
      <c r="J80" s="303"/>
      <c r="K80" s="303"/>
      <c r="L80" s="303"/>
      <c r="M80" s="303"/>
      <c r="N80" s="303"/>
      <c r="O80" s="303"/>
      <c r="P80" s="11"/>
      <c r="S80" s="304"/>
      <c r="T80" s="30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</row>
    <row r="81" spans="2:60" ht="45" customHeight="1">
      <c r="B81" s="36"/>
      <c r="C81" s="303" t="s">
        <v>135</v>
      </c>
      <c r="D81" s="303"/>
      <c r="E81" s="303"/>
      <c r="F81" s="303"/>
      <c r="G81" s="303"/>
      <c r="H81" s="303"/>
      <c r="I81" s="303"/>
      <c r="J81" s="303"/>
      <c r="K81" s="303"/>
      <c r="L81" s="303"/>
      <c r="M81" s="303"/>
      <c r="N81" s="303"/>
      <c r="O81" s="303"/>
      <c r="P81" s="11"/>
      <c r="S81" s="304"/>
      <c r="T81" s="304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</row>
    <row r="82" spans="2:60">
      <c r="B82" s="36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11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</row>
    <row r="83" spans="2:60">
      <c r="B83" s="36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11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</row>
    <row r="84" spans="2:60">
      <c r="B84" s="36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11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</row>
    <row r="85" spans="2:60">
      <c r="B85" s="36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11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</row>
    <row r="86" spans="2:60" ht="15">
      <c r="B86" s="41" t="s">
        <v>81</v>
      </c>
      <c r="C86" s="302" t="s">
        <v>136</v>
      </c>
      <c r="D86" s="302"/>
      <c r="E86" s="302"/>
      <c r="F86" s="302"/>
      <c r="G86" s="302"/>
      <c r="H86" s="302"/>
      <c r="I86" s="302"/>
      <c r="J86" s="302"/>
      <c r="K86" s="302"/>
      <c r="L86" s="302"/>
      <c r="M86" s="302"/>
      <c r="N86" s="302"/>
      <c r="O86" s="302"/>
      <c r="P86" s="11"/>
    </row>
    <row r="87" spans="2:60">
      <c r="B87" s="10"/>
      <c r="P87" s="11"/>
    </row>
    <row r="88" spans="2:60">
      <c r="B88" s="10"/>
      <c r="P88" s="11"/>
    </row>
    <row r="89" spans="2:60">
      <c r="B89" s="10"/>
      <c r="P89" s="11"/>
    </row>
    <row r="90" spans="2:60">
      <c r="B90" s="10"/>
      <c r="P90" s="11"/>
    </row>
    <row r="91" spans="2:60">
      <c r="B91" s="10"/>
      <c r="P91" s="11"/>
    </row>
    <row r="92" spans="2:60">
      <c r="B92" s="10"/>
      <c r="P92" s="11"/>
    </row>
    <row r="93" spans="2:60">
      <c r="B93" s="10"/>
      <c r="P93" s="11"/>
    </row>
    <row r="94" spans="2:60">
      <c r="B94" s="10"/>
      <c r="P94" s="11"/>
    </row>
    <row r="95" spans="2:60">
      <c r="B95" s="10"/>
      <c r="P95" s="11"/>
    </row>
    <row r="96" spans="2:60">
      <c r="B96" s="10"/>
      <c r="P96" s="11"/>
    </row>
    <row r="97" spans="2:16">
      <c r="B97" s="10"/>
      <c r="P97" s="11"/>
    </row>
    <row r="98" spans="2:16">
      <c r="B98" s="10"/>
      <c r="P98" s="11"/>
    </row>
    <row r="99" spans="2:16">
      <c r="B99" s="10"/>
      <c r="P99" s="11"/>
    </row>
    <row r="100" spans="2:16">
      <c r="B100" s="10"/>
      <c r="P100" s="11"/>
    </row>
    <row r="101" spans="2:16">
      <c r="B101" s="10"/>
      <c r="P101" s="11"/>
    </row>
    <row r="102" spans="2:16">
      <c r="B102" s="10"/>
      <c r="P102" s="11"/>
    </row>
    <row r="103" spans="2:16">
      <c r="B103" s="10"/>
      <c r="P103" s="11"/>
    </row>
    <row r="104" spans="2:16" ht="15" thickBo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C44:O44"/>
    <mergeCell ref="C30:O30"/>
    <mergeCell ref="C31:O31"/>
    <mergeCell ref="C32:O32"/>
    <mergeCell ref="C33:O33"/>
    <mergeCell ref="C34:O34"/>
    <mergeCell ref="C35:O35"/>
    <mergeCell ref="C36:O36"/>
    <mergeCell ref="C37:O37"/>
    <mergeCell ref="C41:O41"/>
    <mergeCell ref="C42:O42"/>
    <mergeCell ref="C43:O43"/>
    <mergeCell ref="C60:O60"/>
    <mergeCell ref="C45:O45"/>
    <mergeCell ref="C46:O46"/>
    <mergeCell ref="C47:O47"/>
    <mergeCell ref="C48:O48"/>
    <mergeCell ref="C49:O49"/>
    <mergeCell ref="C50:O50"/>
    <mergeCell ref="C52:O52"/>
    <mergeCell ref="C53:O53"/>
    <mergeCell ref="C57:O57"/>
    <mergeCell ref="C58:O58"/>
    <mergeCell ref="C59:O59"/>
    <mergeCell ref="C74:O74"/>
    <mergeCell ref="S74:BH74"/>
    <mergeCell ref="C61:O61"/>
    <mergeCell ref="C62:O62"/>
    <mergeCell ref="C63:O63"/>
    <mergeCell ref="C68:O68"/>
    <mergeCell ref="C69:O69"/>
    <mergeCell ref="C70:O70"/>
    <mergeCell ref="C71:O71"/>
    <mergeCell ref="C72:O72"/>
    <mergeCell ref="S72:BH72"/>
    <mergeCell ref="C73:O73"/>
    <mergeCell ref="S73:BH73"/>
    <mergeCell ref="C75:O75"/>
    <mergeCell ref="S75:BH75"/>
    <mergeCell ref="C76:O76"/>
    <mergeCell ref="S76:BH76"/>
    <mergeCell ref="C77:O77"/>
    <mergeCell ref="S77:BH77"/>
    <mergeCell ref="C86:O86"/>
    <mergeCell ref="C78:O78"/>
    <mergeCell ref="S78:BH78"/>
    <mergeCell ref="C79:O79"/>
    <mergeCell ref="C80:O80"/>
    <mergeCell ref="S80:BH80"/>
    <mergeCell ref="C81:O81"/>
    <mergeCell ref="S81:BH81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872D-6E99-4E6E-99A2-4D833D3EFF62}">
  <sheetPr>
    <tabColor theme="9" tint="0.39997558519241921"/>
  </sheetPr>
  <dimension ref="A1:R132"/>
  <sheetViews>
    <sheetView showGridLines="0" topLeftCell="A32" zoomScale="80" zoomScaleNormal="80" workbookViewId="0">
      <selection activeCell="D42" sqref="D42"/>
    </sheetView>
  </sheetViews>
  <sheetFormatPr defaultRowHeight="14.4" outlineLevelRow="1"/>
  <cols>
    <col min="1" max="1" width="4.33203125" style="52" customWidth="1"/>
    <col min="2" max="2" width="30.5546875" style="52" customWidth="1"/>
    <col min="3" max="4" width="17.33203125" style="52" customWidth="1"/>
    <col min="5" max="5" width="18" style="52" customWidth="1"/>
    <col min="6" max="6" width="16" style="156" customWidth="1"/>
    <col min="7" max="7" width="15.44140625" style="52" customWidth="1"/>
    <col min="8" max="8" width="13.5546875" style="52" customWidth="1"/>
    <col min="9" max="9" width="12.6640625" style="52" customWidth="1"/>
    <col min="10" max="10" width="8.109375" style="52" customWidth="1"/>
    <col min="11" max="11" width="16.33203125" style="52" customWidth="1"/>
    <col min="12" max="12" width="11.88671875" style="52" customWidth="1"/>
    <col min="13" max="13" width="11.5546875" style="52" customWidth="1"/>
    <col min="14" max="18" width="14.88671875" style="52" customWidth="1"/>
    <col min="19" max="19" width="12.77734375" style="52" customWidth="1"/>
    <col min="20" max="20" width="15.77734375" style="52" customWidth="1"/>
    <col min="21" max="16384" width="8.88671875" style="52"/>
  </cols>
  <sheetData>
    <row r="1" spans="1:17" ht="15" thickBot="1"/>
    <row r="2" spans="1:17" ht="15.6" customHeight="1">
      <c r="B2" s="222">
        <f>Предзаказ_осень2026!U15</f>
        <v>0</v>
      </c>
      <c r="C2" s="236" t="s">
        <v>303</v>
      </c>
      <c r="D2" s="76"/>
      <c r="E2" s="77"/>
      <c r="F2" s="90"/>
      <c r="G2" s="55"/>
      <c r="H2" s="53"/>
      <c r="I2" s="53"/>
      <c r="J2" s="310" t="s">
        <v>70</v>
      </c>
      <c r="K2" s="311"/>
      <c r="L2" s="311"/>
      <c r="M2" s="311"/>
      <c r="N2" s="311"/>
      <c r="O2" s="311"/>
      <c r="P2" s="311"/>
      <c r="Q2" s="312"/>
    </row>
    <row r="3" spans="1:17" ht="15.6" customHeight="1">
      <c r="B3" s="206">
        <f>Предзаказ_осень2026!U16</f>
        <v>0</v>
      </c>
      <c r="C3" s="221" t="s">
        <v>301</v>
      </c>
      <c r="D3" s="76"/>
      <c r="E3" s="77"/>
      <c r="F3" s="90"/>
      <c r="G3" s="55"/>
      <c r="H3" s="53"/>
      <c r="I3" s="53"/>
      <c r="J3" s="313"/>
      <c r="K3" s="314"/>
      <c r="L3" s="314"/>
      <c r="M3" s="314"/>
      <c r="N3" s="314"/>
      <c r="O3" s="314"/>
      <c r="P3" s="314"/>
      <c r="Q3" s="315"/>
    </row>
    <row r="4" spans="1:17" ht="15.6">
      <c r="B4" s="213" t="s">
        <v>266</v>
      </c>
      <c r="C4" s="75" t="s">
        <v>66</v>
      </c>
      <c r="D4" s="76"/>
      <c r="E4" s="77"/>
      <c r="F4" s="90"/>
      <c r="G4" s="57"/>
      <c r="H4" s="56"/>
      <c r="I4" s="56"/>
      <c r="J4" s="313"/>
      <c r="K4" s="314"/>
      <c r="L4" s="314"/>
      <c r="M4" s="314"/>
      <c r="N4" s="314"/>
      <c r="O4" s="314"/>
      <c r="P4" s="314"/>
      <c r="Q4" s="315"/>
    </row>
    <row r="5" spans="1:17" ht="15.6">
      <c r="B5" s="213" t="s">
        <v>382</v>
      </c>
      <c r="C5" s="75" t="s">
        <v>67</v>
      </c>
      <c r="D5" s="76"/>
      <c r="E5" s="77"/>
      <c r="F5" s="90"/>
      <c r="G5" s="57"/>
      <c r="H5" s="56"/>
      <c r="I5" s="56"/>
      <c r="J5" s="313"/>
      <c r="K5" s="314"/>
      <c r="L5" s="314"/>
      <c r="M5" s="314"/>
      <c r="N5" s="314"/>
      <c r="O5" s="314"/>
      <c r="P5" s="314"/>
      <c r="Q5" s="315"/>
    </row>
    <row r="6" spans="1:17" ht="15.6">
      <c r="B6" s="207">
        <f>IF(B5="в кассу",0%,IF(B5="на р/счет",15%,"выберите способ оплаты!"))</f>
        <v>0.15</v>
      </c>
      <c r="C6" s="154" t="s">
        <v>145</v>
      </c>
      <c r="D6" s="76"/>
      <c r="E6" s="77"/>
      <c r="F6" s="90"/>
      <c r="G6" s="59"/>
      <c r="H6" s="58"/>
      <c r="I6" s="58"/>
      <c r="J6" s="313"/>
      <c r="K6" s="314"/>
      <c r="L6" s="314"/>
      <c r="M6" s="314"/>
      <c r="N6" s="314"/>
      <c r="O6" s="314"/>
      <c r="P6" s="314"/>
      <c r="Q6" s="315"/>
    </row>
    <row r="7" spans="1:17" ht="16.2" thickBot="1">
      <c r="B7" s="54"/>
      <c r="C7" s="54"/>
      <c r="D7" s="54"/>
      <c r="E7" s="54"/>
      <c r="F7" s="90"/>
      <c r="G7" s="54"/>
      <c r="H7" s="54"/>
      <c r="I7" s="54"/>
      <c r="J7" s="316"/>
      <c r="K7" s="317"/>
      <c r="L7" s="317"/>
      <c r="M7" s="317"/>
      <c r="N7" s="317"/>
      <c r="O7" s="317"/>
      <c r="P7" s="317"/>
      <c r="Q7" s="318"/>
    </row>
    <row r="8" spans="1:17" ht="18" thickBot="1">
      <c r="B8" s="60" t="s">
        <v>143</v>
      </c>
      <c r="C8" s="61"/>
      <c r="D8" s="62"/>
      <c r="E8" s="63"/>
      <c r="F8" s="225"/>
      <c r="G8" s="225"/>
      <c r="H8" s="54"/>
      <c r="I8" s="54"/>
      <c r="J8" s="54"/>
    </row>
    <row r="9" spans="1:17" ht="15.6" customHeight="1">
      <c r="B9" s="64">
        <f>SUM(Предзаказ_осень2026!Y199:Y764)</f>
        <v>0</v>
      </c>
      <c r="C9" s="65" t="s">
        <v>68</v>
      </c>
      <c r="D9" s="66"/>
      <c r="E9" s="67"/>
      <c r="F9" s="226"/>
      <c r="G9" s="227"/>
      <c r="H9" s="68"/>
      <c r="I9" s="68"/>
      <c r="J9" s="310" t="s">
        <v>215</v>
      </c>
      <c r="K9" s="311"/>
      <c r="L9" s="311"/>
      <c r="M9" s="311"/>
      <c r="N9" s="311"/>
      <c r="O9" s="311"/>
      <c r="P9" s="311"/>
      <c r="Q9" s="312"/>
    </row>
    <row r="10" spans="1:17" ht="15.6">
      <c r="A10" s="69"/>
      <c r="B10" s="70">
        <f>B3</f>
        <v>0</v>
      </c>
      <c r="C10" s="71" t="s">
        <v>144</v>
      </c>
      <c r="D10" s="72"/>
      <c r="E10" s="73"/>
      <c r="F10" s="228"/>
      <c r="G10" s="229">
        <f>B3</f>
        <v>0</v>
      </c>
      <c r="H10" s="74"/>
      <c r="I10" s="74"/>
      <c r="J10" s="313"/>
      <c r="K10" s="314"/>
      <c r="L10" s="314"/>
      <c r="M10" s="314"/>
      <c r="N10" s="314"/>
      <c r="O10" s="314"/>
      <c r="P10" s="314"/>
      <c r="Q10" s="315"/>
    </row>
    <row r="11" spans="1:17" ht="16.2" thickBot="1">
      <c r="B11" s="223">
        <f>IF(B6="выберите способ оплаты!","выберите способ оплаты!",B6*G10)</f>
        <v>0</v>
      </c>
      <c r="C11" s="71" t="s">
        <v>146</v>
      </c>
      <c r="D11" s="72"/>
      <c r="E11" s="73"/>
      <c r="F11" s="230"/>
      <c r="G11" s="231">
        <f>IF(B6="выберите способ оплаты!"," - ₽",B6*G10)</f>
        <v>0</v>
      </c>
      <c r="H11" s="78"/>
      <c r="I11" s="78"/>
      <c r="J11" s="316"/>
      <c r="K11" s="317"/>
      <c r="L11" s="317"/>
      <c r="M11" s="317"/>
      <c r="N11" s="317"/>
      <c r="O11" s="317"/>
      <c r="P11" s="317"/>
      <c r="Q11" s="318"/>
    </row>
    <row r="12" spans="1:17" ht="15.6">
      <c r="B12" s="224">
        <f>IF(B6="выберите способ оплаты!","выберите способ оплаты!",B11+B10)</f>
        <v>0</v>
      </c>
      <c r="C12" s="65" t="s">
        <v>69</v>
      </c>
      <c r="D12" s="66"/>
      <c r="E12" s="67"/>
      <c r="F12" s="232"/>
      <c r="G12" s="233">
        <f>IF(B6="выберите способ оплаты!"," - ₽",G11+G10)</f>
        <v>0</v>
      </c>
      <c r="H12" s="79"/>
      <c r="I12" s="79"/>
      <c r="J12" s="54"/>
    </row>
    <row r="13" spans="1:17" ht="15.6">
      <c r="B13" s="54"/>
      <c r="C13" s="54"/>
      <c r="D13" s="54"/>
      <c r="E13" s="54"/>
      <c r="F13" s="90"/>
      <c r="G13" s="54"/>
      <c r="H13" s="54"/>
      <c r="I13" s="54"/>
      <c r="J13" s="54"/>
    </row>
    <row r="14" spans="1:17" ht="15.6">
      <c r="B14" s="80" t="s">
        <v>258</v>
      </c>
      <c r="C14" s="81"/>
      <c r="D14" s="81"/>
      <c r="E14" s="81"/>
      <c r="F14" s="81"/>
      <c r="G14" s="81"/>
      <c r="H14" s="81"/>
      <c r="I14" s="81"/>
    </row>
    <row r="15" spans="1:17" ht="15.6" customHeight="1">
      <c r="B15" s="80" t="s">
        <v>259</v>
      </c>
      <c r="C15" s="81"/>
      <c r="D15" s="81"/>
      <c r="E15" s="81"/>
      <c r="F15" s="81"/>
      <c r="G15" s="81"/>
      <c r="H15" s="81"/>
      <c r="I15" s="81"/>
    </row>
    <row r="16" spans="1:17" ht="16.2" customHeight="1">
      <c r="B16" s="80" t="s">
        <v>260</v>
      </c>
      <c r="C16" s="81"/>
      <c r="D16" s="81"/>
      <c r="E16" s="81"/>
      <c r="F16" s="81"/>
      <c r="G16" s="81"/>
      <c r="H16" s="81"/>
      <c r="I16" s="81"/>
    </row>
    <row r="17" spans="2:15" ht="15.6">
      <c r="B17" s="80" t="s">
        <v>261</v>
      </c>
      <c r="C17" s="81"/>
      <c r="D17" s="81"/>
      <c r="E17" s="81"/>
      <c r="F17" s="81"/>
      <c r="G17" s="81"/>
      <c r="H17" s="81"/>
      <c r="I17" s="81"/>
      <c r="J17" s="54"/>
    </row>
    <row r="18" spans="2:15" ht="15.6">
      <c r="B18" s="54"/>
      <c r="C18" s="54"/>
      <c r="D18" s="54"/>
      <c r="E18" s="54"/>
      <c r="F18" s="90"/>
      <c r="G18" s="54"/>
      <c r="H18" s="54"/>
      <c r="I18" s="54"/>
      <c r="J18" s="54"/>
    </row>
    <row r="19" spans="2:15" ht="17.399999999999999">
      <c r="B19" s="60" t="s">
        <v>257</v>
      </c>
      <c r="C19" s="82" t="str">
        <f>IF(AND(OR(B20="Навалом",B20="Не выбрано!"),OR(B21="Самовывоз",B21="Не выбрано!")),"",IF(COUNTIF(R74:R82,"В заказе присутствуют крупногабартиные растения, требуется корректировка расчета нашим логистом!")&gt;0,"В заказе присутствуют крупногабартиные растения, требуется корректировка расчета нашим логистом!",""))</f>
        <v/>
      </c>
      <c r="D19" s="83"/>
      <c r="E19" s="83"/>
      <c r="F19" s="90"/>
      <c r="G19" s="54"/>
      <c r="H19" s="54"/>
      <c r="I19" s="54"/>
      <c r="J19" s="54"/>
    </row>
    <row r="20" spans="2:15" ht="15.6">
      <c r="B20" s="214" t="s">
        <v>266</v>
      </c>
      <c r="C20" s="84" t="s">
        <v>147</v>
      </c>
      <c r="D20" s="56"/>
      <c r="E20" s="56"/>
      <c r="F20" s="90"/>
      <c r="G20" s="54"/>
      <c r="H20" s="54"/>
      <c r="I20" s="54"/>
      <c r="K20" s="54" t="s">
        <v>254</v>
      </c>
    </row>
    <row r="21" spans="2:15" ht="15.6">
      <c r="B21" s="214" t="s">
        <v>266</v>
      </c>
      <c r="C21" s="84" t="s">
        <v>148</v>
      </c>
      <c r="D21" s="56"/>
      <c r="E21" s="68" t="s">
        <v>216</v>
      </c>
      <c r="F21" s="90"/>
      <c r="G21" s="54"/>
      <c r="H21" s="54"/>
      <c r="I21" s="54"/>
      <c r="K21" s="52" t="s">
        <v>217</v>
      </c>
    </row>
    <row r="22" spans="2:15" ht="15.6">
      <c r="B22" s="155"/>
      <c r="C22" s="85" t="str">
        <f>IF(B21="Доставка до клиента","← Введите расстояние до вас в км",IF(AND(B21="Доставка до ТК",B20="Навалом"),"Отгрузка навалом в ТК невозможна! Выберите другой способ!",""))</f>
        <v/>
      </c>
      <c r="D22" s="86"/>
      <c r="E22" s="87"/>
      <c r="F22" s="90"/>
      <c r="G22" s="54"/>
      <c r="H22" s="54"/>
      <c r="I22" s="54"/>
      <c r="K22" s="54" t="s">
        <v>255</v>
      </c>
    </row>
    <row r="23" spans="2:15" ht="15.6">
      <c r="B23" s="88">
        <f>IF(B20="Навалом",0,IF(B20="В таре",R85,0))</f>
        <v>0</v>
      </c>
      <c r="C23" s="72" t="s">
        <v>150</v>
      </c>
      <c r="D23" s="53"/>
      <c r="E23" s="53"/>
      <c r="F23" s="90"/>
      <c r="G23" s="54"/>
      <c r="H23" s="54"/>
      <c r="I23" s="54"/>
      <c r="K23" s="198" t="s">
        <v>273</v>
      </c>
      <c r="L23" s="199"/>
      <c r="M23" s="199"/>
      <c r="N23" s="199"/>
      <c r="O23" s="199"/>
    </row>
    <row r="24" spans="2:15" ht="15.6">
      <c r="B24" s="88">
        <f>IF(B21="Самовывоз",0,IF(B21="Доставка до ТК",IF(B6="выберите способ оплаты!","выберите способ оплаты!",IF(B20&lt;&gt;"Навалом",ROUNDUP(R86,0)*3000,"выберите отгрузку в таре!")),IF(B21="Доставка до клиента",IF(B22="","введите расстояние!",R87),0)))</f>
        <v>0</v>
      </c>
      <c r="C24" s="72" t="s">
        <v>149</v>
      </c>
      <c r="D24" s="53"/>
      <c r="E24" s="53"/>
      <c r="F24" s="90"/>
      <c r="G24" s="54"/>
      <c r="H24" s="54"/>
      <c r="I24" s="54"/>
      <c r="K24" s="198" t="s">
        <v>272</v>
      </c>
      <c r="L24" s="199"/>
      <c r="M24" s="199"/>
      <c r="N24" s="199"/>
      <c r="O24" s="199"/>
    </row>
    <row r="25" spans="2:15" ht="15.6">
      <c r="B25" s="89">
        <f>IF(B6="выберите способ оплаты!","выберите способ оплаты!",B23+B23*B6)</f>
        <v>0</v>
      </c>
      <c r="C25" s="66" t="s">
        <v>151</v>
      </c>
      <c r="D25" s="58"/>
      <c r="E25" s="58"/>
      <c r="F25" s="90"/>
      <c r="G25" s="54"/>
      <c r="H25" s="54"/>
      <c r="I25" s="54"/>
      <c r="J25" s="54"/>
      <c r="K25" s="54" t="s">
        <v>256</v>
      </c>
    </row>
    <row r="26" spans="2:15" ht="15.6">
      <c r="B26" s="89">
        <f>IF(B6="выберите способ оплаты!","выберите способ оплаты!",IF(B24="выберите отгрузку в таре!","выберите отгрузку в таре!",IF(B24="введите расстояние!","введите расстояние!",B24+B24*B6)))</f>
        <v>0</v>
      </c>
      <c r="C26" s="66" t="s">
        <v>152</v>
      </c>
      <c r="D26" s="58"/>
      <c r="E26" s="58"/>
      <c r="F26" s="90"/>
      <c r="G26" s="54"/>
      <c r="H26" s="54"/>
      <c r="I26" s="54"/>
      <c r="J26" s="54"/>
    </row>
    <row r="27" spans="2:15" ht="15.6">
      <c r="B27" s="54"/>
      <c r="C27" s="54"/>
      <c r="D27" s="54"/>
      <c r="E27" s="54"/>
      <c r="F27" s="90"/>
      <c r="G27" s="54"/>
      <c r="H27" s="54"/>
      <c r="I27" s="54"/>
      <c r="J27" s="54"/>
    </row>
    <row r="28" spans="2:15" ht="15.6">
      <c r="B28" s="54"/>
      <c r="C28" s="54"/>
      <c r="D28" s="54"/>
      <c r="E28" s="54"/>
      <c r="F28" s="90"/>
      <c r="G28" s="54"/>
      <c r="H28" s="54"/>
      <c r="I28" s="54"/>
      <c r="J28" s="54"/>
    </row>
    <row r="29" spans="2:15" ht="37.799999999999997" customHeight="1">
      <c r="B29" s="204">
        <f>IFERROR(B12+B25+B26,"заполните все параметры")</f>
        <v>0</v>
      </c>
      <c r="C29" s="202" t="s">
        <v>214</v>
      </c>
      <c r="D29" s="202"/>
      <c r="E29" s="203"/>
      <c r="G29" s="90" t="s">
        <v>262</v>
      </c>
      <c r="H29" s="54"/>
      <c r="I29" s="54"/>
    </row>
    <row r="30" spans="2:15" ht="18">
      <c r="B30" s="200"/>
      <c r="C30" s="201"/>
      <c r="D30" s="201"/>
      <c r="E30" s="58"/>
      <c r="G30" s="90"/>
      <c r="H30" s="54"/>
      <c r="I30" s="54"/>
    </row>
    <row r="31" spans="2:15" ht="18">
      <c r="B31" s="200"/>
      <c r="C31" s="201"/>
      <c r="D31" s="201"/>
      <c r="E31" s="58"/>
      <c r="G31" s="90"/>
      <c r="H31" s="54"/>
      <c r="I31" s="54"/>
    </row>
    <row r="32" spans="2:15" ht="18">
      <c r="B32" s="200"/>
      <c r="C32" s="201"/>
      <c r="D32" s="201"/>
      <c r="E32" s="58"/>
      <c r="G32" s="90"/>
      <c r="H32" s="54"/>
      <c r="I32" s="54"/>
    </row>
    <row r="33" spans="2:18" ht="18">
      <c r="B33" s="200"/>
      <c r="C33" s="201"/>
      <c r="D33" s="201"/>
      <c r="E33" s="58"/>
      <c r="G33" s="90"/>
      <c r="H33" s="54"/>
      <c r="I33" s="54"/>
    </row>
    <row r="34" spans="2:18">
      <c r="B34" s="91"/>
      <c r="C34" s="92"/>
      <c r="D34" s="92"/>
      <c r="E34" s="92"/>
    </row>
    <row r="35" spans="2:18">
      <c r="B35" s="91"/>
      <c r="C35" s="92"/>
      <c r="D35" s="92"/>
      <c r="E35" s="92"/>
    </row>
    <row r="36" spans="2:18">
      <c r="B36" s="93"/>
      <c r="C36" s="94"/>
      <c r="D36" s="94"/>
      <c r="E36" s="94"/>
    </row>
    <row r="37" spans="2:18">
      <c r="B37" s="93"/>
      <c r="C37" s="94"/>
      <c r="D37" s="94"/>
      <c r="E37" s="94"/>
    </row>
    <row r="38" spans="2:18">
      <c r="B38" s="95" t="s">
        <v>224</v>
      </c>
      <c r="D38" s="52" t="s">
        <v>227</v>
      </c>
      <c r="E38" s="96"/>
      <c r="F38" s="157"/>
      <c r="G38" s="97"/>
      <c r="H38" s="97"/>
      <c r="I38" s="97"/>
      <c r="K38" s="98" t="s">
        <v>225</v>
      </c>
      <c r="L38" s="99"/>
      <c r="O38" s="52" t="s">
        <v>226</v>
      </c>
    </row>
    <row r="39" spans="2:18">
      <c r="B39" s="100"/>
      <c r="D39" s="101"/>
      <c r="E39" s="96"/>
      <c r="F39" s="157"/>
      <c r="G39" s="97"/>
      <c r="H39" s="97"/>
      <c r="I39" s="97"/>
    </row>
    <row r="40" spans="2:18" ht="82.8">
      <c r="B40" s="102" t="s">
        <v>205</v>
      </c>
      <c r="C40" s="103"/>
      <c r="D40" s="102" t="s">
        <v>269</v>
      </c>
      <c r="E40" s="104" t="s">
        <v>270</v>
      </c>
      <c r="F40" s="105" t="s">
        <v>193</v>
      </c>
      <c r="G40" s="104" t="s">
        <v>267</v>
      </c>
      <c r="H40" s="105" t="s">
        <v>195</v>
      </c>
      <c r="I40" s="105" t="s">
        <v>268</v>
      </c>
      <c r="K40" s="51" t="s">
        <v>197</v>
      </c>
      <c r="L40" s="51" t="s">
        <v>198</v>
      </c>
      <c r="M40" s="51" t="s">
        <v>263</v>
      </c>
      <c r="N40" s="51" t="s">
        <v>219</v>
      </c>
      <c r="O40" s="51" t="s">
        <v>264</v>
      </c>
      <c r="P40" s="51" t="s">
        <v>194</v>
      </c>
      <c r="Q40" s="51" t="s">
        <v>195</v>
      </c>
      <c r="R40" s="51" t="s">
        <v>204</v>
      </c>
    </row>
    <row r="41" spans="2:18">
      <c r="B41" s="102" t="s">
        <v>196</v>
      </c>
      <c r="C41" s="102" t="s">
        <v>203</v>
      </c>
      <c r="D41" s="197">
        <v>350</v>
      </c>
      <c r="E41" s="197">
        <v>3900</v>
      </c>
      <c r="F41" s="197">
        <v>1600</v>
      </c>
      <c r="G41" s="197">
        <v>400</v>
      </c>
      <c r="H41" s="197">
        <v>5500</v>
      </c>
      <c r="I41" s="197">
        <v>400</v>
      </c>
      <c r="K41" s="51"/>
      <c r="L41" s="51"/>
      <c r="M41" s="51"/>
      <c r="N41" s="51"/>
      <c r="O41" s="51"/>
      <c r="P41" s="51"/>
      <c r="Q41" s="51"/>
      <c r="R41" s="51"/>
    </row>
    <row r="42" spans="2:18">
      <c r="B42" s="106" t="s">
        <v>191</v>
      </c>
      <c r="C42" s="107">
        <v>0.5</v>
      </c>
      <c r="D42" s="107">
        <v>40</v>
      </c>
      <c r="E42" s="108" t="s">
        <v>220</v>
      </c>
      <c r="F42" s="108" t="s">
        <v>222</v>
      </c>
      <c r="G42" s="107"/>
      <c r="H42" s="107"/>
      <c r="I42" s="107"/>
      <c r="K42" s="109" t="e">
        <f>SUMIF(Предзаказ_осень2026!#REF!,Калькулятор!B42,Предзаказ_осень2026!#REF!)</f>
        <v>#REF!</v>
      </c>
      <c r="L42" s="110" t="e">
        <f t="shared" ref="L42:L82" si="0">C42*K42</f>
        <v>#REF!</v>
      </c>
      <c r="M42" s="110" t="e">
        <f>K42/D42</f>
        <v>#REF!</v>
      </c>
      <c r="N42" s="110"/>
      <c r="O42" s="110"/>
      <c r="P42" s="110"/>
      <c r="Q42" s="110"/>
      <c r="R42" s="110"/>
    </row>
    <row r="43" spans="2:18">
      <c r="B43" s="106" t="s">
        <v>158</v>
      </c>
      <c r="C43" s="107">
        <v>0.55000000000000004</v>
      </c>
      <c r="D43" s="107">
        <v>24</v>
      </c>
      <c r="E43" s="108" t="s">
        <v>221</v>
      </c>
      <c r="F43" s="108" t="s">
        <v>223</v>
      </c>
      <c r="G43" s="107"/>
      <c r="H43" s="107"/>
      <c r="I43" s="107"/>
      <c r="K43" s="109" t="e">
        <f>SUMIF(Предзаказ_осень2026!#REF!,Калькулятор!B43,Предзаказ_осень2026!#REF!)</f>
        <v>#REF!</v>
      </c>
      <c r="L43" s="110" t="e">
        <f t="shared" si="0"/>
        <v>#REF!</v>
      </c>
      <c r="M43" s="110" t="e">
        <f>K43/D43</f>
        <v>#REF!</v>
      </c>
      <c r="N43" s="110"/>
      <c r="O43" s="110"/>
      <c r="P43" s="110"/>
      <c r="Q43" s="110"/>
      <c r="R43" s="110"/>
    </row>
    <row r="44" spans="2:18">
      <c r="B44" s="106" t="s">
        <v>159</v>
      </c>
      <c r="C44" s="107">
        <v>1</v>
      </c>
      <c r="D44" s="107"/>
      <c r="E44" s="107">
        <v>190</v>
      </c>
      <c r="F44" s="108"/>
      <c r="G44" s="107"/>
      <c r="H44" s="107"/>
      <c r="I44" s="107"/>
      <c r="K44" s="109" t="e">
        <f>SUMIF(Предзаказ_осень2026!#REF!,Калькулятор!B44,Предзаказ_осень2026!#REF!)</f>
        <v>#REF!</v>
      </c>
      <c r="L44" s="110" t="e">
        <f t="shared" si="0"/>
        <v>#REF!</v>
      </c>
      <c r="M44" s="110"/>
      <c r="N44" s="110" t="e">
        <f>K44/E44</f>
        <v>#REF!</v>
      </c>
      <c r="O44" s="110"/>
      <c r="P44" s="110"/>
      <c r="Q44" s="110"/>
      <c r="R44" s="110"/>
    </row>
    <row r="45" spans="2:18">
      <c r="B45" s="106" t="s">
        <v>29</v>
      </c>
      <c r="C45" s="107">
        <v>2</v>
      </c>
      <c r="D45" s="107"/>
      <c r="E45" s="107">
        <v>120</v>
      </c>
      <c r="F45" s="108"/>
      <c r="G45" s="107"/>
      <c r="H45" s="107"/>
      <c r="I45" s="107"/>
      <c r="K45" s="109" t="e">
        <f>SUMIF(Предзаказ_осень2026!#REF!,Калькулятор!B45,Предзаказ_осень2026!#REF!)</f>
        <v>#REF!</v>
      </c>
      <c r="L45" s="110" t="e">
        <f t="shared" si="0"/>
        <v>#REF!</v>
      </c>
      <c r="M45" s="110"/>
      <c r="N45" s="110" t="e">
        <f t="shared" ref="N45:N48" si="1">K45/E45</f>
        <v>#REF!</v>
      </c>
      <c r="O45" s="110"/>
      <c r="P45" s="110"/>
      <c r="Q45" s="110"/>
      <c r="R45" s="110"/>
    </row>
    <row r="46" spans="2:18">
      <c r="B46" s="106" t="s">
        <v>16</v>
      </c>
      <c r="C46" s="107">
        <v>1</v>
      </c>
      <c r="D46" s="107"/>
      <c r="E46" s="107">
        <v>190</v>
      </c>
      <c r="F46" s="108"/>
      <c r="G46" s="107"/>
      <c r="H46" s="107"/>
      <c r="I46" s="107"/>
      <c r="K46" s="109" t="e">
        <f>SUMIF(Предзаказ_осень2026!#REF!,Калькулятор!B46,Предзаказ_осень2026!#REF!)</f>
        <v>#REF!</v>
      </c>
      <c r="L46" s="110" t="e">
        <f t="shared" si="0"/>
        <v>#REF!</v>
      </c>
      <c r="M46" s="110"/>
      <c r="N46" s="110" t="e">
        <f t="shared" si="1"/>
        <v>#REF!</v>
      </c>
      <c r="O46" s="110"/>
      <c r="P46" s="110"/>
      <c r="Q46" s="110"/>
      <c r="R46" s="110"/>
    </row>
    <row r="47" spans="2:18">
      <c r="B47" s="106" t="s">
        <v>48</v>
      </c>
      <c r="C47" s="107">
        <v>1.5</v>
      </c>
      <c r="D47" s="107"/>
      <c r="E47" s="107">
        <v>165</v>
      </c>
      <c r="F47" s="108"/>
      <c r="G47" s="107"/>
      <c r="H47" s="107"/>
      <c r="I47" s="107"/>
      <c r="K47" s="109" t="e">
        <f>SUMIF(Предзаказ_осень2026!#REF!,Калькулятор!B47,Предзаказ_осень2026!#REF!)</f>
        <v>#REF!</v>
      </c>
      <c r="L47" s="110" t="e">
        <f t="shared" si="0"/>
        <v>#REF!</v>
      </c>
      <c r="M47" s="110"/>
      <c r="N47" s="110" t="e">
        <f t="shared" si="1"/>
        <v>#REF!</v>
      </c>
      <c r="O47" s="110"/>
      <c r="P47" s="110"/>
      <c r="Q47" s="110"/>
      <c r="R47" s="110"/>
    </row>
    <row r="48" spans="2:18">
      <c r="B48" s="106" t="s">
        <v>10</v>
      </c>
      <c r="C48" s="107">
        <v>2</v>
      </c>
      <c r="D48" s="107"/>
      <c r="E48" s="107">
        <v>120</v>
      </c>
      <c r="F48" s="108"/>
      <c r="G48" s="107"/>
      <c r="H48" s="107"/>
      <c r="I48" s="107"/>
      <c r="K48" s="109" t="e">
        <f>SUMIF(Предзаказ_осень2026!#REF!,Калькулятор!B48,Предзаказ_осень2026!#REF!)</f>
        <v>#REF!</v>
      </c>
      <c r="L48" s="110" t="e">
        <f t="shared" si="0"/>
        <v>#REF!</v>
      </c>
      <c r="M48" s="110"/>
      <c r="N48" s="110" t="e">
        <f t="shared" si="1"/>
        <v>#REF!</v>
      </c>
      <c r="O48" s="110"/>
      <c r="P48" s="110"/>
      <c r="Q48" s="110"/>
      <c r="R48" s="110"/>
    </row>
    <row r="49" spans="2:18">
      <c r="B49" s="106" t="s">
        <v>40</v>
      </c>
      <c r="C49" s="107">
        <v>2.5</v>
      </c>
      <c r="D49" s="107"/>
      <c r="E49" s="107"/>
      <c r="F49" s="108"/>
      <c r="G49" s="107"/>
      <c r="H49" s="107"/>
      <c r="I49" s="107"/>
      <c r="K49" s="109" t="e">
        <f>SUMIF(Предзаказ_осень2026!#REF!,Калькулятор!B49,Предзаказ_осень2026!#REF!)</f>
        <v>#REF!</v>
      </c>
      <c r="L49" s="110" t="e">
        <f t="shared" si="0"/>
        <v>#REF!</v>
      </c>
      <c r="M49" s="110"/>
      <c r="N49" s="110"/>
      <c r="O49" s="110"/>
      <c r="P49" s="110"/>
      <c r="Q49" s="110"/>
      <c r="R49" s="110"/>
    </row>
    <row r="50" spans="2:18">
      <c r="B50" s="106" t="s">
        <v>154</v>
      </c>
      <c r="C50" s="107">
        <v>2.2999999999999998</v>
      </c>
      <c r="D50" s="107"/>
      <c r="E50" s="111"/>
      <c r="F50" s="108"/>
      <c r="G50" s="108">
        <v>90</v>
      </c>
      <c r="H50" s="107"/>
      <c r="I50" s="107"/>
      <c r="K50" s="109" t="e">
        <f>SUMIF(Предзаказ_осень2026!#REF!,Калькулятор!B50,Предзаказ_осень2026!#REF!)</f>
        <v>#REF!</v>
      </c>
      <c r="L50" s="110" t="e">
        <f t="shared" si="0"/>
        <v>#REF!</v>
      </c>
      <c r="M50" s="110"/>
      <c r="N50" s="110"/>
      <c r="O50" s="110"/>
      <c r="P50" s="110" t="e">
        <f>K50/G50</f>
        <v>#REF!</v>
      </c>
      <c r="Q50" s="110"/>
      <c r="R50" s="110"/>
    </row>
    <row r="51" spans="2:18">
      <c r="B51" s="106" t="s">
        <v>26</v>
      </c>
      <c r="C51" s="107">
        <v>3</v>
      </c>
      <c r="D51" s="107"/>
      <c r="E51" s="107">
        <v>100</v>
      </c>
      <c r="F51" s="108"/>
      <c r="G51" s="108"/>
      <c r="H51" s="107"/>
      <c r="I51" s="107"/>
      <c r="K51" s="109" t="e">
        <f>SUMIF(Предзаказ_осень2026!#REF!,Калькулятор!B51,Предзаказ_осень2026!#REF!)</f>
        <v>#REF!</v>
      </c>
      <c r="L51" s="110" t="e">
        <f t="shared" si="0"/>
        <v>#REF!</v>
      </c>
      <c r="M51" s="110"/>
      <c r="N51" s="110" t="e">
        <f>K51/E51</f>
        <v>#REF!</v>
      </c>
      <c r="O51" s="110"/>
      <c r="P51" s="110"/>
      <c r="Q51" s="110"/>
      <c r="R51" s="110"/>
    </row>
    <row r="52" spans="2:18">
      <c r="B52" s="106" t="s">
        <v>155</v>
      </c>
      <c r="C52" s="107">
        <v>3.3</v>
      </c>
      <c r="D52" s="107"/>
      <c r="E52" s="111"/>
      <c r="F52" s="108"/>
      <c r="G52" s="108">
        <v>70</v>
      </c>
      <c r="H52" s="107"/>
      <c r="I52" s="107"/>
      <c r="K52" s="109" t="e">
        <f>SUMIF(Предзаказ_осень2026!#REF!,Калькулятор!B52,Предзаказ_осень2026!#REF!)</f>
        <v>#REF!</v>
      </c>
      <c r="L52" s="110" t="e">
        <f t="shared" si="0"/>
        <v>#REF!</v>
      </c>
      <c r="M52" s="110"/>
      <c r="N52" s="110"/>
      <c r="O52" s="110"/>
      <c r="P52" s="110" t="e">
        <f>K52/G52</f>
        <v>#REF!</v>
      </c>
      <c r="Q52" s="110"/>
      <c r="R52" s="110"/>
    </row>
    <row r="53" spans="2:18">
      <c r="B53" s="106" t="s">
        <v>36</v>
      </c>
      <c r="C53" s="107">
        <v>4</v>
      </c>
      <c r="D53" s="107"/>
      <c r="E53" s="107">
        <v>40</v>
      </c>
      <c r="F53" s="108"/>
      <c r="G53" s="108"/>
      <c r="H53" s="107"/>
      <c r="I53" s="107"/>
      <c r="K53" s="109" t="e">
        <f>SUMIF(Предзаказ_осень2026!#REF!,Калькулятор!B53,Предзаказ_осень2026!#REF!)</f>
        <v>#REF!</v>
      </c>
      <c r="L53" s="110" t="e">
        <f t="shared" si="0"/>
        <v>#REF!</v>
      </c>
      <c r="M53" s="110"/>
      <c r="N53" s="110" t="e">
        <f>K53/E53</f>
        <v>#REF!</v>
      </c>
      <c r="O53" s="110"/>
      <c r="P53" s="110"/>
      <c r="Q53" s="110"/>
      <c r="R53" s="110"/>
    </row>
    <row r="54" spans="2:18">
      <c r="B54" s="106" t="s">
        <v>279</v>
      </c>
      <c r="C54" s="107">
        <v>4.3</v>
      </c>
      <c r="D54" s="107"/>
      <c r="E54" s="107"/>
      <c r="F54" s="108"/>
      <c r="G54" s="108"/>
      <c r="H54" s="107"/>
      <c r="I54" s="107"/>
      <c r="K54" s="109" t="e">
        <f>SUMIF(Предзаказ_осень2026!#REF!,Калькулятор!B54,Предзаказ_осень2026!#REF!)</f>
        <v>#REF!</v>
      </c>
      <c r="L54" s="110" t="e">
        <f t="shared" si="0"/>
        <v>#REF!</v>
      </c>
      <c r="M54" s="110"/>
      <c r="N54" s="110"/>
      <c r="O54" s="110"/>
      <c r="P54" s="110"/>
      <c r="Q54" s="110"/>
      <c r="R54" s="110"/>
    </row>
    <row r="55" spans="2:18">
      <c r="B55" s="106" t="s">
        <v>51</v>
      </c>
      <c r="C55" s="107">
        <v>4.5</v>
      </c>
      <c r="D55" s="107"/>
      <c r="E55" s="107"/>
      <c r="F55" s="108"/>
      <c r="G55" s="108"/>
      <c r="H55" s="107"/>
      <c r="I55" s="107"/>
      <c r="K55" s="109" t="e">
        <f>SUMIF(Предзаказ_осень2026!#REF!,Калькулятор!B55,Предзаказ_осень2026!#REF!)</f>
        <v>#REF!</v>
      </c>
      <c r="L55" s="110" t="e">
        <f t="shared" si="0"/>
        <v>#REF!</v>
      </c>
      <c r="M55" s="110"/>
      <c r="N55" s="110"/>
      <c r="O55" s="110"/>
      <c r="P55" s="110"/>
      <c r="Q55" s="110"/>
      <c r="R55" s="110"/>
    </row>
    <row r="56" spans="2:18">
      <c r="B56" s="106" t="s">
        <v>246</v>
      </c>
      <c r="C56" s="107">
        <v>4.8</v>
      </c>
      <c r="D56" s="107"/>
      <c r="E56" s="107"/>
      <c r="F56" s="108"/>
      <c r="G56" s="108"/>
      <c r="H56" s="107"/>
      <c r="I56" s="107"/>
      <c r="K56" s="109" t="e">
        <f>SUMIF(Предзаказ_осень2026!#REF!,Калькулятор!B56,Предзаказ_осень2026!#REF!)</f>
        <v>#REF!</v>
      </c>
      <c r="L56" s="110" t="e">
        <f t="shared" si="0"/>
        <v>#REF!</v>
      </c>
      <c r="M56" s="110"/>
      <c r="N56" s="110"/>
      <c r="O56" s="110"/>
      <c r="P56" s="110"/>
      <c r="Q56" s="110"/>
      <c r="R56" s="110"/>
    </row>
    <row r="57" spans="2:18">
      <c r="B57" s="106" t="s">
        <v>27</v>
      </c>
      <c r="C57" s="107">
        <v>5</v>
      </c>
      <c r="D57" s="107"/>
      <c r="E57" s="107">
        <v>40</v>
      </c>
      <c r="F57" s="108"/>
      <c r="G57" s="108"/>
      <c r="H57" s="107"/>
      <c r="I57" s="107"/>
      <c r="K57" s="109" t="e">
        <f>SUMIF(Предзаказ_осень2026!#REF!,Калькулятор!B57,Предзаказ_осень2026!#REF!)</f>
        <v>#REF!</v>
      </c>
      <c r="L57" s="110" t="e">
        <f t="shared" si="0"/>
        <v>#REF!</v>
      </c>
      <c r="M57" s="110"/>
      <c r="N57" s="110" t="e">
        <f>K57/E57</f>
        <v>#REF!</v>
      </c>
      <c r="O57" s="110"/>
      <c r="P57" s="110"/>
      <c r="Q57" s="110"/>
      <c r="R57" s="110"/>
    </row>
    <row r="58" spans="2:18">
      <c r="B58" s="106" t="s">
        <v>156</v>
      </c>
      <c r="C58" s="107">
        <v>5.3</v>
      </c>
      <c r="D58" s="112"/>
      <c r="E58" s="111"/>
      <c r="F58" s="108"/>
      <c r="G58" s="108">
        <v>50</v>
      </c>
      <c r="H58" s="107"/>
      <c r="I58" s="107"/>
      <c r="K58" s="109" t="e">
        <f>SUMIF(Предзаказ_осень2026!#REF!,Калькулятор!B58,Предзаказ_осень2026!#REF!)</f>
        <v>#REF!</v>
      </c>
      <c r="L58" s="110" t="e">
        <f t="shared" si="0"/>
        <v>#REF!</v>
      </c>
      <c r="M58" s="110"/>
      <c r="N58" s="110"/>
      <c r="O58" s="110"/>
      <c r="P58" s="110" t="e">
        <f>K58/G58</f>
        <v>#REF!</v>
      </c>
      <c r="Q58" s="110"/>
      <c r="R58" s="110"/>
    </row>
    <row r="59" spans="2:18">
      <c r="B59" s="106" t="s">
        <v>37</v>
      </c>
      <c r="C59" s="107">
        <v>6</v>
      </c>
      <c r="D59" s="112"/>
      <c r="E59" s="111"/>
      <c r="F59" s="108"/>
      <c r="G59" s="108"/>
      <c r="H59" s="107"/>
      <c r="I59" s="107"/>
      <c r="K59" s="109" t="e">
        <f>SUMIF(Предзаказ_осень2026!#REF!,Калькулятор!B59,Предзаказ_осень2026!#REF!)</f>
        <v>#REF!</v>
      </c>
      <c r="L59" s="110" t="e">
        <f t="shared" si="0"/>
        <v>#REF!</v>
      </c>
      <c r="M59" s="110"/>
      <c r="N59" s="110"/>
      <c r="O59" s="110"/>
      <c r="P59" s="110"/>
      <c r="Q59" s="110"/>
      <c r="R59" s="110"/>
    </row>
    <row r="60" spans="2:18">
      <c r="B60" s="106" t="s">
        <v>247</v>
      </c>
      <c r="C60" s="107">
        <v>6.3</v>
      </c>
      <c r="D60" s="112"/>
      <c r="E60" s="111"/>
      <c r="F60" s="108"/>
      <c r="G60" s="108"/>
      <c r="H60" s="107"/>
      <c r="I60" s="107"/>
      <c r="K60" s="109" t="e">
        <f>SUMIF(Предзаказ_осень2026!#REF!,Калькулятор!B60,Предзаказ_осень2026!#REF!)</f>
        <v>#REF!</v>
      </c>
      <c r="L60" s="110" t="e">
        <f t="shared" si="0"/>
        <v>#REF!</v>
      </c>
      <c r="M60" s="110"/>
      <c r="N60" s="110"/>
      <c r="O60" s="110"/>
      <c r="P60" s="110"/>
      <c r="Q60" s="110"/>
      <c r="R60" s="110"/>
    </row>
    <row r="61" spans="2:18">
      <c r="B61" s="106" t="s">
        <v>59</v>
      </c>
      <c r="C61" s="107">
        <v>7</v>
      </c>
      <c r="D61" s="107"/>
      <c r="E61" s="107">
        <v>25</v>
      </c>
      <c r="F61" s="108"/>
      <c r="G61" s="108"/>
      <c r="H61" s="107"/>
      <c r="I61" s="107"/>
      <c r="K61" s="109" t="e">
        <f>SUMIF(Предзаказ_осень2026!#REF!,Калькулятор!B61,Предзаказ_осень2026!#REF!)</f>
        <v>#REF!</v>
      </c>
      <c r="L61" s="110" t="e">
        <f t="shared" si="0"/>
        <v>#REF!</v>
      </c>
      <c r="M61" s="110"/>
      <c r="N61" s="110" t="e">
        <f>K61/E61</f>
        <v>#REF!</v>
      </c>
      <c r="O61" s="110"/>
      <c r="P61" s="110"/>
      <c r="Q61" s="110"/>
      <c r="R61" s="110"/>
    </row>
    <row r="62" spans="2:18">
      <c r="B62" s="106" t="s">
        <v>192</v>
      </c>
      <c r="C62" s="107">
        <v>7.3</v>
      </c>
      <c r="D62" s="107"/>
      <c r="E62" s="107"/>
      <c r="F62" s="108"/>
      <c r="G62" s="108"/>
      <c r="H62" s="107"/>
      <c r="I62" s="107"/>
      <c r="K62" s="109" t="e">
        <f>SUMIF(Предзаказ_осень2026!#REF!,Калькулятор!B62,Предзаказ_осень2026!#REF!)</f>
        <v>#REF!</v>
      </c>
      <c r="L62" s="110" t="e">
        <f t="shared" si="0"/>
        <v>#REF!</v>
      </c>
      <c r="M62" s="110"/>
      <c r="N62" s="110"/>
      <c r="O62" s="110"/>
      <c r="P62" s="110"/>
      <c r="Q62" s="110"/>
      <c r="R62" s="110"/>
    </row>
    <row r="63" spans="2:18">
      <c r="B63" s="106" t="s">
        <v>32</v>
      </c>
      <c r="C63" s="107">
        <v>7.5</v>
      </c>
      <c r="D63" s="107"/>
      <c r="E63" s="107">
        <v>20</v>
      </c>
      <c r="F63" s="108"/>
      <c r="G63" s="108"/>
      <c r="H63" s="107"/>
      <c r="I63" s="107"/>
      <c r="K63" s="109" t="e">
        <f>SUMIF(Предзаказ_осень2026!#REF!,Калькулятор!B63,Предзаказ_осень2026!#REF!)</f>
        <v>#REF!</v>
      </c>
      <c r="L63" s="110" t="e">
        <f t="shared" si="0"/>
        <v>#REF!</v>
      </c>
      <c r="M63" s="110"/>
      <c r="N63" s="110" t="e">
        <f>K63/E63</f>
        <v>#REF!</v>
      </c>
      <c r="O63" s="110"/>
      <c r="P63" s="110"/>
      <c r="Q63" s="110"/>
      <c r="R63" s="110"/>
    </row>
    <row r="64" spans="2:18">
      <c r="B64" s="106" t="s">
        <v>248</v>
      </c>
      <c r="C64" s="107">
        <v>7.8</v>
      </c>
      <c r="D64" s="107"/>
      <c r="E64" s="111"/>
      <c r="F64" s="108"/>
      <c r="G64" s="108">
        <v>40</v>
      </c>
      <c r="H64" s="107"/>
      <c r="I64" s="107"/>
      <c r="K64" s="109" t="e">
        <f>SUMIF(Предзаказ_осень2026!#REF!,Калькулятор!B64,Предзаказ_осень2026!#REF!)</f>
        <v>#REF!</v>
      </c>
      <c r="L64" s="110" t="e">
        <f t="shared" si="0"/>
        <v>#REF!</v>
      </c>
      <c r="M64" s="110"/>
      <c r="N64" s="110"/>
      <c r="O64" s="110"/>
      <c r="P64" s="110" t="e">
        <f>K64/G64</f>
        <v>#REF!</v>
      </c>
      <c r="Q64" s="110"/>
      <c r="R64" s="110"/>
    </row>
    <row r="65" spans="2:18">
      <c r="B65" s="106" t="s">
        <v>31</v>
      </c>
      <c r="C65" s="107">
        <v>10</v>
      </c>
      <c r="D65" s="107"/>
      <c r="E65" s="108">
        <v>15</v>
      </c>
      <c r="F65" s="108"/>
      <c r="G65" s="111"/>
      <c r="H65" s="107"/>
      <c r="I65" s="107"/>
      <c r="K65" s="109" t="e">
        <f>SUMIF(Предзаказ_осень2026!#REF!,Калькулятор!B65,Предзаказ_осень2026!#REF!)</f>
        <v>#REF!</v>
      </c>
      <c r="L65" s="110" t="e">
        <f t="shared" si="0"/>
        <v>#REF!</v>
      </c>
      <c r="M65" s="110"/>
      <c r="N65" s="110" t="e">
        <f>K65/E65</f>
        <v>#REF!</v>
      </c>
      <c r="O65" s="110"/>
      <c r="P65" s="110"/>
      <c r="Q65" s="110"/>
      <c r="R65" s="113"/>
    </row>
    <row r="66" spans="2:18">
      <c r="B66" s="106" t="s">
        <v>249</v>
      </c>
      <c r="C66" s="107">
        <v>10.5</v>
      </c>
      <c r="D66" s="107"/>
      <c r="E66" s="108"/>
      <c r="F66" s="108"/>
      <c r="G66" s="108"/>
      <c r="H66" s="107"/>
      <c r="I66" s="107"/>
      <c r="K66" s="109" t="e">
        <f>SUMIF(Предзаказ_осень2026!#REF!,Калькулятор!B66,Предзаказ_осень2026!#REF!)</f>
        <v>#REF!</v>
      </c>
      <c r="L66" s="110" t="e">
        <f t="shared" si="0"/>
        <v>#REF!</v>
      </c>
      <c r="M66" s="110"/>
      <c r="N66" s="110"/>
      <c r="O66" s="110"/>
      <c r="P66" s="110"/>
      <c r="Q66" s="110"/>
      <c r="R66" s="113"/>
    </row>
    <row r="67" spans="2:18">
      <c r="B67" s="106" t="s">
        <v>153</v>
      </c>
      <c r="C67" s="107">
        <v>11</v>
      </c>
      <c r="D67" s="107"/>
      <c r="E67" s="108"/>
      <c r="F67" s="108"/>
      <c r="G67" s="111"/>
      <c r="H67" s="107"/>
      <c r="I67" s="107"/>
      <c r="K67" s="109" t="e">
        <f>SUMIF(Предзаказ_осень2026!#REF!,Калькулятор!B67,Предзаказ_осень2026!#REF!)</f>
        <v>#REF!</v>
      </c>
      <c r="L67" s="110" t="e">
        <f t="shared" si="0"/>
        <v>#REF!</v>
      </c>
      <c r="M67" s="110"/>
      <c r="N67" s="110"/>
      <c r="O67" s="110"/>
      <c r="P67" s="110"/>
      <c r="Q67" s="110"/>
      <c r="R67" s="113"/>
    </row>
    <row r="68" spans="2:18">
      <c r="B68" s="106" t="s">
        <v>39</v>
      </c>
      <c r="C68" s="107">
        <v>12</v>
      </c>
      <c r="D68" s="107"/>
      <c r="E68" s="108"/>
      <c r="F68" s="108"/>
      <c r="G68" s="111"/>
      <c r="H68" s="107"/>
      <c r="I68" s="107"/>
      <c r="K68" s="109" t="e">
        <f>SUMIF(Предзаказ_осень2026!#REF!,Калькулятор!B68,Предзаказ_осень2026!#REF!)</f>
        <v>#REF!</v>
      </c>
      <c r="L68" s="110" t="e">
        <f t="shared" si="0"/>
        <v>#REF!</v>
      </c>
      <c r="M68" s="110"/>
      <c r="N68" s="110"/>
      <c r="O68" s="110"/>
      <c r="P68" s="110"/>
      <c r="Q68" s="110"/>
      <c r="R68" s="113"/>
    </row>
    <row r="69" spans="2:18">
      <c r="B69" s="106" t="s">
        <v>250</v>
      </c>
      <c r="C69" s="107">
        <v>12.5</v>
      </c>
      <c r="D69" s="107"/>
      <c r="E69" s="108"/>
      <c r="F69" s="108"/>
      <c r="G69" s="111"/>
      <c r="H69" s="107"/>
      <c r="I69" s="107"/>
      <c r="K69" s="109" t="e">
        <f>SUMIF(Предзаказ_осень2026!#REF!,Калькулятор!B69,Предзаказ_осень2026!#REF!)</f>
        <v>#REF!</v>
      </c>
      <c r="L69" s="110" t="e">
        <f t="shared" si="0"/>
        <v>#REF!</v>
      </c>
      <c r="M69" s="110"/>
      <c r="N69" s="110"/>
      <c r="O69" s="110"/>
      <c r="P69" s="110"/>
      <c r="Q69" s="110"/>
      <c r="R69" s="113"/>
    </row>
    <row r="70" spans="2:18">
      <c r="B70" s="106" t="s">
        <v>28</v>
      </c>
      <c r="C70" s="107">
        <v>15</v>
      </c>
      <c r="D70" s="107"/>
      <c r="E70" s="108"/>
      <c r="F70" s="108"/>
      <c r="G70" s="111"/>
      <c r="H70" s="107"/>
      <c r="I70" s="107"/>
      <c r="K70" s="109" t="e">
        <f>SUMIF(Предзаказ_осень2026!#REF!,Калькулятор!B70,Предзаказ_осень2026!#REF!)</f>
        <v>#REF!</v>
      </c>
      <c r="L70" s="110" t="e">
        <f t="shared" si="0"/>
        <v>#REF!</v>
      </c>
      <c r="M70" s="110"/>
      <c r="N70" s="110"/>
      <c r="O70" s="110"/>
      <c r="P70" s="110"/>
      <c r="Q70" s="110"/>
      <c r="R70" s="113"/>
    </row>
    <row r="71" spans="2:18">
      <c r="B71" s="106" t="s">
        <v>251</v>
      </c>
      <c r="C71" s="107">
        <v>15.5</v>
      </c>
      <c r="D71" s="107"/>
      <c r="E71" s="108"/>
      <c r="F71" s="108"/>
      <c r="G71" s="111"/>
      <c r="H71" s="107"/>
      <c r="I71" s="107"/>
      <c r="K71" s="109" t="e">
        <f>SUMIF(Предзаказ_осень2026!#REF!,Калькулятор!B71,Предзаказ_осень2026!#REF!)</f>
        <v>#REF!</v>
      </c>
      <c r="L71" s="110" t="e">
        <f t="shared" si="0"/>
        <v>#REF!</v>
      </c>
      <c r="M71" s="110"/>
      <c r="N71" s="110"/>
      <c r="O71" s="110"/>
      <c r="P71" s="110"/>
      <c r="Q71" s="110"/>
      <c r="R71" s="113"/>
    </row>
    <row r="72" spans="2:18">
      <c r="B72" s="106" t="s">
        <v>274</v>
      </c>
      <c r="C72" s="107">
        <v>16</v>
      </c>
      <c r="D72" s="107"/>
      <c r="E72" s="108"/>
      <c r="F72" s="108"/>
      <c r="G72" s="111"/>
      <c r="H72" s="107"/>
      <c r="I72" s="107"/>
      <c r="K72" s="109" t="e">
        <f>SUMIF(Предзаказ_осень2026!#REF!,Калькулятор!B72,Предзаказ_осень2026!#REF!)</f>
        <v>#REF!</v>
      </c>
      <c r="L72" s="110" t="e">
        <f t="shared" si="0"/>
        <v>#REF!</v>
      </c>
      <c r="M72" s="110"/>
      <c r="N72" s="110"/>
      <c r="O72" s="110"/>
      <c r="P72" s="110"/>
      <c r="Q72" s="110"/>
      <c r="R72" s="113"/>
    </row>
    <row r="73" spans="2:18">
      <c r="B73" s="106" t="s">
        <v>275</v>
      </c>
      <c r="C73" s="107">
        <v>16.5</v>
      </c>
      <c r="D73" s="107"/>
      <c r="E73" s="108"/>
      <c r="F73" s="108"/>
      <c r="G73" s="111"/>
      <c r="H73" s="107"/>
      <c r="I73" s="107"/>
      <c r="K73" s="109" t="e">
        <f>SUMIF(Предзаказ_осень2026!#REF!,Калькулятор!B73,Предзаказ_осень2026!#REF!)</f>
        <v>#REF!</v>
      </c>
      <c r="L73" s="110" t="e">
        <f t="shared" si="0"/>
        <v>#REF!</v>
      </c>
      <c r="M73" s="110"/>
      <c r="N73" s="110"/>
      <c r="O73" s="110"/>
      <c r="P73" s="110"/>
      <c r="Q73" s="110"/>
      <c r="R73" s="113"/>
    </row>
    <row r="74" spans="2:18">
      <c r="B74" s="106" t="s">
        <v>57</v>
      </c>
      <c r="C74" s="107">
        <v>18</v>
      </c>
      <c r="D74" s="107"/>
      <c r="E74" s="106">
        <v>9</v>
      </c>
      <c r="F74" s="108"/>
      <c r="G74" s="114"/>
      <c r="H74" s="107"/>
      <c r="I74" s="107"/>
      <c r="K74" s="109" t="e">
        <f>SUMIF(Предзаказ_осень2026!#REF!,Калькулятор!B74,Предзаказ_осень2026!#REF!)</f>
        <v>#REF!</v>
      </c>
      <c r="L74" s="110" t="e">
        <f t="shared" si="0"/>
        <v>#REF!</v>
      </c>
      <c r="M74" s="110"/>
      <c r="N74" s="110" t="e">
        <f>K74/E74</f>
        <v>#REF!</v>
      </c>
      <c r="O74" s="110"/>
      <c r="P74" s="110"/>
      <c r="Q74" s="110"/>
      <c r="R74" s="115" t="e">
        <f>IF(K74&gt;0,"Крупногабартиные растения, требуется корректировка расчета нашим логистом!","")</f>
        <v>#REF!</v>
      </c>
    </row>
    <row r="75" spans="2:18">
      <c r="B75" s="106" t="s">
        <v>252</v>
      </c>
      <c r="C75" s="107">
        <v>18.5</v>
      </c>
      <c r="D75" s="107"/>
      <c r="E75" s="106"/>
      <c r="F75" s="108"/>
      <c r="G75" s="114"/>
      <c r="H75" s="107"/>
      <c r="I75" s="107"/>
      <c r="K75" s="109" t="e">
        <f>SUMIF(Предзаказ_осень2026!#REF!,Калькулятор!B75,Предзаказ_осень2026!#REF!)</f>
        <v>#REF!</v>
      </c>
      <c r="L75" s="110" t="e">
        <f t="shared" si="0"/>
        <v>#REF!</v>
      </c>
      <c r="M75" s="110"/>
      <c r="N75" s="110"/>
      <c r="O75" s="110"/>
      <c r="P75" s="110"/>
      <c r="Q75" s="110"/>
      <c r="R75" s="115"/>
    </row>
    <row r="76" spans="2:18">
      <c r="B76" s="106" t="s">
        <v>189</v>
      </c>
      <c r="C76" s="107">
        <v>20</v>
      </c>
      <c r="D76" s="107"/>
      <c r="E76" s="106"/>
      <c r="F76" s="108"/>
      <c r="G76" s="114"/>
      <c r="H76" s="107"/>
      <c r="I76" s="107"/>
      <c r="K76" s="109" t="e">
        <f>SUMIF(Предзаказ_осень2026!#REF!,Калькулятор!B76,Предзаказ_осень2026!#REF!)</f>
        <v>#REF!</v>
      </c>
      <c r="L76" s="110" t="e">
        <f t="shared" si="0"/>
        <v>#REF!</v>
      </c>
      <c r="M76" s="110"/>
      <c r="N76" s="110"/>
      <c r="O76" s="110"/>
      <c r="P76" s="110"/>
      <c r="Q76" s="110"/>
      <c r="R76" s="115"/>
    </row>
    <row r="77" spans="2:18">
      <c r="B77" s="106" t="s">
        <v>276</v>
      </c>
      <c r="C77" s="107">
        <v>20.5</v>
      </c>
      <c r="D77" s="107"/>
      <c r="E77" s="106"/>
      <c r="F77" s="108"/>
      <c r="G77" s="114"/>
      <c r="H77" s="107"/>
      <c r="I77" s="107"/>
      <c r="K77" s="109" t="e">
        <f>SUMIF(Предзаказ_осень2026!#REF!,Калькулятор!B77,Предзаказ_осень2026!#REF!)</f>
        <v>#REF!</v>
      </c>
      <c r="L77" s="110" t="e">
        <f t="shared" si="0"/>
        <v>#REF!</v>
      </c>
      <c r="M77" s="110"/>
      <c r="N77" s="110"/>
      <c r="O77" s="110"/>
      <c r="P77" s="110"/>
      <c r="Q77" s="110"/>
      <c r="R77" s="115"/>
    </row>
    <row r="78" spans="2:18">
      <c r="B78" s="106" t="s">
        <v>34</v>
      </c>
      <c r="C78" s="107">
        <v>25</v>
      </c>
      <c r="D78" s="107"/>
      <c r="E78" s="106"/>
      <c r="F78" s="108"/>
      <c r="G78" s="114"/>
      <c r="H78" s="107"/>
      <c r="I78" s="107"/>
      <c r="K78" s="109" t="e">
        <f>SUMIF(Предзаказ_осень2026!#REF!,Калькулятор!B78,Предзаказ_осень2026!#REF!)</f>
        <v>#REF!</v>
      </c>
      <c r="L78" s="110" t="e">
        <f t="shared" si="0"/>
        <v>#REF!</v>
      </c>
      <c r="M78" s="110"/>
      <c r="N78" s="110"/>
      <c r="O78" s="110"/>
      <c r="P78" s="110"/>
      <c r="Q78" s="110"/>
      <c r="R78" s="115"/>
    </row>
    <row r="79" spans="2:18">
      <c r="B79" s="106" t="s">
        <v>277</v>
      </c>
      <c r="C79" s="107">
        <v>25.5</v>
      </c>
      <c r="D79" s="107"/>
      <c r="E79" s="106"/>
      <c r="F79" s="108"/>
      <c r="G79" s="114"/>
      <c r="H79" s="107"/>
      <c r="I79" s="107"/>
      <c r="K79" s="109" t="e">
        <f>SUMIF(Предзаказ_осень2026!#REF!,Калькулятор!B79,Предзаказ_осень2026!#REF!)</f>
        <v>#REF!</v>
      </c>
      <c r="L79" s="110" t="e">
        <f t="shared" si="0"/>
        <v>#REF!</v>
      </c>
      <c r="M79" s="110"/>
      <c r="N79" s="110"/>
      <c r="O79" s="110"/>
      <c r="P79" s="110"/>
      <c r="Q79" s="110"/>
      <c r="R79" s="115"/>
    </row>
    <row r="80" spans="2:18">
      <c r="B80" s="106" t="s">
        <v>278</v>
      </c>
      <c r="C80" s="107">
        <v>35</v>
      </c>
      <c r="D80" s="107"/>
      <c r="E80" s="106"/>
      <c r="F80" s="108"/>
      <c r="G80" s="114"/>
      <c r="H80" s="107"/>
      <c r="I80" s="107"/>
      <c r="K80" s="109" t="e">
        <f>SUMIF(Предзаказ_осень2026!#REF!,Калькулятор!B80,Предзаказ_осень2026!#REF!)</f>
        <v>#REF!</v>
      </c>
      <c r="L80" s="110" t="e">
        <f t="shared" si="0"/>
        <v>#REF!</v>
      </c>
      <c r="M80" s="110"/>
      <c r="N80" s="110"/>
      <c r="O80" s="110"/>
      <c r="P80" s="110"/>
      <c r="Q80" s="110"/>
      <c r="R80" s="115"/>
    </row>
    <row r="81" spans="2:18" ht="27.6">
      <c r="B81" s="108" t="s">
        <v>280</v>
      </c>
      <c r="C81" s="107">
        <v>50</v>
      </c>
      <c r="D81" s="116"/>
      <c r="E81" s="117"/>
      <c r="F81" s="158"/>
      <c r="G81" s="118"/>
      <c r="H81" s="107">
        <v>9</v>
      </c>
      <c r="I81" s="107"/>
      <c r="K81" s="119" t="e">
        <f>SUMIFS(Предзаказ_осень2026!#REF!,Предзаказ_осень2026!#REF!,"WRB",Предзаказ_осень2026!#REF!,"100-120")</f>
        <v>#REF!</v>
      </c>
      <c r="L81" s="110" t="e">
        <f t="shared" si="0"/>
        <v>#REF!</v>
      </c>
      <c r="M81" s="110"/>
      <c r="N81" s="110"/>
      <c r="O81" s="110"/>
      <c r="P81" s="110"/>
      <c r="Q81" s="110" t="e">
        <f>K81/H81</f>
        <v>#REF!</v>
      </c>
      <c r="R81" s="115" t="e">
        <f>IF(K81&gt;0,"Крупногабартиные растения, требуется корректировка расчета нашим логистом!","")</f>
        <v>#REF!</v>
      </c>
    </row>
    <row r="82" spans="2:18" ht="27.6">
      <c r="B82" s="108" t="s">
        <v>281</v>
      </c>
      <c r="C82" s="107">
        <v>80</v>
      </c>
      <c r="D82" s="116"/>
      <c r="E82" s="117"/>
      <c r="F82" s="158"/>
      <c r="G82" s="118"/>
      <c r="H82" s="108">
        <v>3</v>
      </c>
      <c r="I82" s="108"/>
      <c r="K82" s="120" t="e">
        <f>SUMIFS(Предзаказ_осень2026!#REF!,Предзаказ_осень2026!#REF!,"WRB",Предзаказ_осень2026!#REF!,"140-160")</f>
        <v>#REF!</v>
      </c>
      <c r="L82" s="110" t="e">
        <f t="shared" si="0"/>
        <v>#REF!</v>
      </c>
      <c r="M82" s="121"/>
      <c r="N82" s="121"/>
      <c r="O82" s="121"/>
      <c r="P82" s="121"/>
      <c r="Q82" s="121" t="e">
        <f>K82/H82</f>
        <v>#REF!</v>
      </c>
      <c r="R82" s="122" t="e">
        <f t="shared" ref="R82" si="2">IF(K82&gt;0,"Крупногабартиные растения, требуется корректировка расчета нашим логистом!","")</f>
        <v>#REF!</v>
      </c>
    </row>
    <row r="83" spans="2:18">
      <c r="D83" s="123"/>
      <c r="E83" s="124"/>
      <c r="F83" s="159"/>
      <c r="G83" s="125"/>
      <c r="H83" s="125"/>
      <c r="I83" s="125"/>
      <c r="J83" s="126" t="s">
        <v>157</v>
      </c>
      <c r="K83" s="127" t="e">
        <f>SUM(K42:K82)</f>
        <v>#REF!</v>
      </c>
      <c r="L83" s="128" t="e">
        <f>SUM(L42:L82)</f>
        <v>#REF!</v>
      </c>
      <c r="M83" s="128" t="e">
        <f>ROUNDUP(M43,0)+ROUNDUP(M42,0)</f>
        <v>#REF!</v>
      </c>
      <c r="N83" s="128" t="e">
        <f>ROUNDUP(SUM(N42:N82),0)</f>
        <v>#REF!</v>
      </c>
      <c r="O83" s="128"/>
      <c r="P83" s="128" t="e">
        <f>ROUNDUP(SUM(P42:P82),0)</f>
        <v>#REF!</v>
      </c>
      <c r="Q83" s="128" t="e">
        <f>ROUNDUP(SUM(Q42:Q82),0)</f>
        <v>#REF!</v>
      </c>
      <c r="R83" s="129"/>
    </row>
    <row r="84" spans="2:18">
      <c r="B84" s="130"/>
      <c r="D84" s="131"/>
      <c r="E84" s="131"/>
      <c r="F84" s="133"/>
      <c r="G84" s="131"/>
      <c r="H84" s="131"/>
      <c r="I84" s="131"/>
      <c r="J84" s="132"/>
      <c r="K84" s="131"/>
      <c r="L84" s="131"/>
      <c r="M84" s="128"/>
      <c r="N84" s="131"/>
      <c r="O84" s="131"/>
      <c r="P84" s="131"/>
      <c r="Q84" s="131"/>
      <c r="R84" s="133"/>
    </row>
    <row r="85" spans="2:18">
      <c r="B85" s="130"/>
      <c r="D85" s="131"/>
      <c r="E85" s="131"/>
      <c r="F85" s="133"/>
      <c r="G85" s="131"/>
      <c r="H85" s="131"/>
      <c r="I85" s="131"/>
      <c r="J85" s="134" t="s">
        <v>210</v>
      </c>
      <c r="K85" s="131"/>
      <c r="L85" s="131"/>
      <c r="M85" s="135" t="e">
        <f>M83*$D$41</f>
        <v>#REF!</v>
      </c>
      <c r="N85" s="135" t="e">
        <f>N83*$E$41</f>
        <v>#REF!</v>
      </c>
      <c r="O85" s="131"/>
      <c r="P85" s="135" t="e">
        <f>P83*$G$41</f>
        <v>#REF!</v>
      </c>
      <c r="Q85" s="135" t="e">
        <f>Q83*$H$41</f>
        <v>#REF!</v>
      </c>
      <c r="R85" s="136" t="e">
        <f>SUM(M85:Q85)</f>
        <v>#REF!</v>
      </c>
    </row>
    <row r="86" spans="2:18">
      <c r="D86" s="137"/>
      <c r="E86" s="137"/>
      <c r="F86" s="160"/>
      <c r="G86" s="137"/>
      <c r="H86" s="137"/>
      <c r="I86" s="137"/>
      <c r="J86" s="134" t="s">
        <v>241</v>
      </c>
      <c r="K86" s="138"/>
      <c r="L86" s="138"/>
      <c r="M86" s="139" t="e">
        <f>M83/45</f>
        <v>#REF!</v>
      </c>
      <c r="N86" s="139" t="e">
        <f>ROUNDUP((ROUNDUP(N83,0)/2),0)</f>
        <v>#REF!</v>
      </c>
      <c r="O86" s="139"/>
      <c r="P86" s="139" t="e">
        <f>P83</f>
        <v>#REF!</v>
      </c>
      <c r="Q86" s="139" t="e">
        <f>Q83</f>
        <v>#REF!</v>
      </c>
      <c r="R86" s="140" t="e">
        <f>SUM(M86:Q86)</f>
        <v>#REF!</v>
      </c>
    </row>
    <row r="87" spans="2:18">
      <c r="D87" s="137"/>
      <c r="E87" s="137"/>
      <c r="F87" s="160"/>
      <c r="G87" s="137"/>
      <c r="H87" s="137"/>
      <c r="I87" s="137"/>
      <c r="J87" s="134" t="s">
        <v>209</v>
      </c>
      <c r="K87" s="137"/>
      <c r="L87" s="137"/>
      <c r="M87" s="137"/>
      <c r="N87" s="137"/>
      <c r="O87" s="137"/>
      <c r="P87" s="137"/>
      <c r="Q87" s="131"/>
      <c r="R87" s="136" t="e">
        <f>O123</f>
        <v>#REF!</v>
      </c>
    </row>
    <row r="88" spans="2:18">
      <c r="D88" s="141"/>
      <c r="E88" s="141"/>
      <c r="F88" s="161"/>
      <c r="G88" s="141"/>
      <c r="H88" s="141"/>
      <c r="I88" s="141"/>
      <c r="J88" s="142"/>
      <c r="K88" s="141"/>
      <c r="L88" s="141"/>
      <c r="M88" s="141"/>
      <c r="N88" s="141"/>
      <c r="O88" s="141"/>
      <c r="P88" s="141"/>
      <c r="R88" s="143"/>
    </row>
    <row r="89" spans="2:18">
      <c r="D89" s="141"/>
      <c r="E89" s="141"/>
      <c r="F89" s="161"/>
      <c r="G89" s="141"/>
      <c r="H89" s="141"/>
      <c r="I89" s="141"/>
      <c r="J89" s="142"/>
      <c r="K89" s="141"/>
      <c r="L89" s="141"/>
      <c r="M89" s="141"/>
      <c r="N89" s="141"/>
      <c r="O89" s="141"/>
      <c r="P89" s="141"/>
      <c r="R89" s="143"/>
    </row>
    <row r="90" spans="2:18">
      <c r="D90" s="141"/>
      <c r="E90" s="141"/>
      <c r="F90" s="161"/>
      <c r="G90" s="141"/>
      <c r="H90" s="141"/>
      <c r="I90" s="141"/>
      <c r="J90" s="142"/>
      <c r="K90" s="141"/>
      <c r="L90" s="141"/>
      <c r="M90" s="141"/>
      <c r="N90" s="141"/>
      <c r="O90" s="141"/>
      <c r="P90" s="141"/>
      <c r="R90" s="143"/>
    </row>
    <row r="91" spans="2:18">
      <c r="D91" s="141"/>
      <c r="E91" s="141"/>
      <c r="F91" s="161"/>
      <c r="G91" s="141"/>
      <c r="H91" s="141"/>
      <c r="I91" s="141"/>
      <c r="J91" s="142"/>
      <c r="K91" s="141"/>
      <c r="L91" s="141"/>
      <c r="M91" s="141"/>
      <c r="N91" s="141"/>
      <c r="O91" s="141"/>
      <c r="P91" s="141"/>
      <c r="R91" s="143"/>
    </row>
    <row r="92" spans="2:18">
      <c r="D92" s="141"/>
      <c r="E92" s="141"/>
      <c r="F92" s="161"/>
      <c r="G92" s="141"/>
      <c r="H92" s="141"/>
      <c r="I92" s="141"/>
      <c r="J92" s="142"/>
      <c r="K92" s="141"/>
      <c r="L92" s="141"/>
      <c r="M92" s="141"/>
      <c r="N92" s="141"/>
      <c r="O92" s="141"/>
      <c r="P92" s="141"/>
      <c r="R92" s="143"/>
    </row>
    <row r="93" spans="2:18">
      <c r="D93" s="141"/>
      <c r="E93" s="141"/>
      <c r="F93" s="161"/>
      <c r="G93" s="141"/>
      <c r="H93" s="141"/>
      <c r="I93" s="141"/>
      <c r="J93" s="142"/>
      <c r="K93" s="141"/>
      <c r="L93" s="141"/>
      <c r="M93" s="141"/>
      <c r="N93" s="141"/>
      <c r="O93" s="141"/>
      <c r="P93" s="141"/>
      <c r="R93" s="143"/>
    </row>
    <row r="94" spans="2:18">
      <c r="D94" s="141"/>
      <c r="E94" s="141"/>
      <c r="F94" s="161"/>
      <c r="G94" s="141"/>
      <c r="H94" s="141"/>
      <c r="I94" s="141"/>
      <c r="J94" s="142"/>
      <c r="K94" s="141"/>
      <c r="L94" s="141"/>
      <c r="M94" s="141"/>
      <c r="N94" s="141"/>
      <c r="O94" s="141"/>
      <c r="P94" s="141"/>
      <c r="R94" s="143"/>
    </row>
    <row r="95" spans="2:18">
      <c r="D95" s="141"/>
      <c r="E95" s="141"/>
      <c r="F95" s="161"/>
      <c r="G95" s="141"/>
      <c r="H95" s="141"/>
      <c r="I95" s="141"/>
      <c r="J95" s="142"/>
      <c r="K95" s="141"/>
      <c r="L95" s="141"/>
      <c r="M95" s="141"/>
      <c r="N95" s="141"/>
      <c r="O95" s="141"/>
      <c r="P95" s="141"/>
      <c r="R95" s="143"/>
    </row>
    <row r="96" spans="2:18">
      <c r="D96" s="141"/>
      <c r="E96" s="141"/>
      <c r="F96" s="161"/>
      <c r="G96" s="141"/>
      <c r="H96" s="141"/>
      <c r="I96" s="141"/>
      <c r="J96" s="142"/>
      <c r="K96" s="141"/>
      <c r="L96" s="141"/>
      <c r="M96" s="141"/>
      <c r="N96" s="141"/>
      <c r="O96" s="141"/>
      <c r="P96" s="141"/>
      <c r="R96" s="143"/>
    </row>
    <row r="97" spans="4:18">
      <c r="D97" s="141"/>
      <c r="E97" s="141"/>
      <c r="F97" s="161"/>
      <c r="G97" s="141"/>
      <c r="H97" s="141"/>
      <c r="I97" s="141"/>
      <c r="J97" s="142"/>
      <c r="K97" s="141"/>
      <c r="L97" s="141"/>
      <c r="M97" s="141"/>
      <c r="N97" s="141"/>
      <c r="O97" s="141"/>
      <c r="P97" s="141"/>
      <c r="R97" s="143"/>
    </row>
    <row r="98" spans="4:18">
      <c r="D98" s="141"/>
      <c r="E98" s="141"/>
      <c r="F98" s="161"/>
      <c r="G98" s="141"/>
      <c r="H98" s="141"/>
      <c r="I98" s="141"/>
      <c r="J98" s="142"/>
      <c r="K98" s="141"/>
      <c r="L98" s="141"/>
      <c r="M98" s="141"/>
      <c r="N98" s="141"/>
      <c r="O98" s="141"/>
      <c r="P98" s="141"/>
      <c r="R98" s="143"/>
    </row>
    <row r="99" spans="4:18">
      <c r="D99" s="141"/>
      <c r="E99" s="141"/>
      <c r="F99" s="161"/>
      <c r="G99" s="141"/>
      <c r="H99" s="141"/>
      <c r="I99" s="141"/>
      <c r="J99" s="142"/>
      <c r="K99" s="141"/>
      <c r="L99" s="141"/>
      <c r="M99" s="141"/>
      <c r="N99" s="141"/>
      <c r="O99" s="141"/>
      <c r="P99" s="141"/>
      <c r="R99" s="143"/>
    </row>
    <row r="100" spans="4:18">
      <c r="D100" s="141"/>
      <c r="E100" s="141"/>
      <c r="F100" s="161"/>
      <c r="G100" s="141"/>
      <c r="H100" s="141"/>
      <c r="I100" s="141"/>
      <c r="J100" s="142"/>
      <c r="K100" s="141"/>
      <c r="L100" s="141"/>
      <c r="M100" s="141"/>
      <c r="N100" s="141"/>
      <c r="O100" s="141"/>
      <c r="P100" s="141"/>
      <c r="R100" s="143"/>
    </row>
    <row r="101" spans="4:18">
      <c r="D101" s="141"/>
      <c r="E101" s="141"/>
      <c r="F101" s="161"/>
      <c r="G101" s="141"/>
      <c r="H101" s="141"/>
      <c r="I101" s="141"/>
      <c r="J101" s="142"/>
      <c r="K101" s="141"/>
      <c r="L101" s="141"/>
      <c r="M101" s="141"/>
      <c r="N101" s="141"/>
      <c r="O101" s="141"/>
      <c r="P101" s="141"/>
      <c r="R101" s="143"/>
    </row>
    <row r="102" spans="4:18">
      <c r="D102" s="141"/>
      <c r="E102" s="141"/>
      <c r="F102" s="161"/>
      <c r="G102" s="141"/>
      <c r="H102" s="141"/>
      <c r="I102" s="141"/>
      <c r="J102" s="142"/>
      <c r="K102" s="141"/>
      <c r="L102" s="141"/>
      <c r="M102" s="141"/>
      <c r="N102" s="141"/>
      <c r="O102" s="141"/>
      <c r="P102" s="141"/>
      <c r="R102" s="143"/>
    </row>
    <row r="103" spans="4:18">
      <c r="D103" s="141"/>
      <c r="E103" s="141"/>
      <c r="F103" s="161"/>
      <c r="G103" s="141"/>
      <c r="H103" s="141"/>
      <c r="I103" s="141"/>
      <c r="J103" s="142"/>
      <c r="K103" s="141"/>
      <c r="L103" s="141"/>
      <c r="M103" s="141"/>
      <c r="N103" s="141"/>
      <c r="O103" s="141"/>
      <c r="P103" s="141"/>
      <c r="R103" s="143"/>
    </row>
    <row r="104" spans="4:18">
      <c r="D104" s="141"/>
      <c r="E104" s="141"/>
      <c r="F104" s="161"/>
      <c r="G104" s="141"/>
      <c r="H104" s="141"/>
      <c r="I104" s="141"/>
      <c r="J104" s="142"/>
      <c r="K104" s="141"/>
      <c r="L104" s="141"/>
      <c r="M104" s="141"/>
      <c r="N104" s="141"/>
      <c r="O104" s="141"/>
      <c r="P104" s="141"/>
      <c r="R104" s="143"/>
    </row>
    <row r="105" spans="4:18">
      <c r="D105" s="141"/>
      <c r="E105" s="141"/>
      <c r="F105" s="161"/>
      <c r="G105" s="141"/>
      <c r="H105" s="141"/>
      <c r="I105" s="141"/>
      <c r="J105" s="142"/>
      <c r="K105" s="141"/>
      <c r="L105" s="141"/>
      <c r="M105" s="141"/>
      <c r="N105" s="141"/>
      <c r="O105" s="141"/>
      <c r="P105" s="141"/>
      <c r="R105" s="143"/>
    </row>
    <row r="106" spans="4:18">
      <c r="D106" s="141"/>
      <c r="E106" s="141"/>
      <c r="F106" s="161"/>
      <c r="G106" s="141"/>
      <c r="H106" s="141"/>
      <c r="I106" s="141"/>
      <c r="J106" s="142"/>
      <c r="K106" s="141"/>
      <c r="L106" s="141"/>
      <c r="M106" s="141"/>
      <c r="N106" s="141"/>
      <c r="O106" s="141"/>
      <c r="P106" s="141"/>
      <c r="R106" s="143"/>
    </row>
    <row r="107" spans="4:18">
      <c r="D107" s="141"/>
      <c r="E107" s="141"/>
      <c r="F107" s="161"/>
      <c r="G107" s="141"/>
      <c r="H107" s="141"/>
      <c r="I107" s="141"/>
      <c r="J107" s="142"/>
      <c r="K107" s="141"/>
      <c r="L107" s="141"/>
      <c r="M107" s="141"/>
      <c r="N107" s="141"/>
      <c r="O107" s="141"/>
      <c r="P107" s="141"/>
      <c r="R107" s="143"/>
    </row>
    <row r="108" spans="4:18">
      <c r="D108" s="141"/>
      <c r="E108" s="141"/>
      <c r="F108" s="161"/>
      <c r="G108" s="141"/>
      <c r="H108" s="141"/>
      <c r="I108" s="141"/>
      <c r="J108" s="142"/>
      <c r="K108" s="141"/>
      <c r="L108" s="141"/>
      <c r="M108" s="141"/>
      <c r="N108" s="141"/>
      <c r="O108" s="141"/>
      <c r="P108" s="141"/>
      <c r="R108" s="143"/>
    </row>
    <row r="109" spans="4:18">
      <c r="D109" s="141"/>
      <c r="E109" s="141"/>
      <c r="F109" s="161"/>
      <c r="G109" s="141"/>
      <c r="H109" s="141"/>
      <c r="I109" s="141"/>
      <c r="J109" s="142"/>
      <c r="K109" s="141"/>
      <c r="L109" s="141"/>
      <c r="M109" s="141"/>
      <c r="N109" s="141"/>
      <c r="O109" s="141"/>
      <c r="P109" s="141"/>
      <c r="R109" s="143"/>
    </row>
    <row r="110" spans="4:18">
      <c r="D110" s="141"/>
      <c r="E110" s="141"/>
      <c r="F110" s="161"/>
      <c r="G110" s="141"/>
      <c r="H110" s="141"/>
      <c r="I110" s="141"/>
      <c r="J110" s="142"/>
      <c r="K110" s="141"/>
      <c r="L110" s="141"/>
      <c r="M110" s="141"/>
      <c r="N110" s="141"/>
      <c r="O110" s="141"/>
      <c r="P110" s="141"/>
      <c r="R110" s="143"/>
    </row>
    <row r="111" spans="4:18">
      <c r="D111" s="141"/>
      <c r="E111" s="141"/>
      <c r="F111" s="161"/>
      <c r="G111" s="141"/>
      <c r="H111" s="141"/>
      <c r="I111" s="141"/>
      <c r="J111" s="142"/>
      <c r="K111" s="141"/>
      <c r="L111" s="141"/>
      <c r="M111" s="141"/>
      <c r="N111" s="141"/>
      <c r="O111" s="141"/>
      <c r="P111" s="141"/>
      <c r="R111" s="143"/>
    </row>
    <row r="112" spans="4:18">
      <c r="D112" s="141"/>
      <c r="E112" s="141"/>
      <c r="F112" s="161"/>
      <c r="G112" s="141"/>
      <c r="H112" s="141"/>
      <c r="I112" s="141"/>
      <c r="J112" s="142"/>
      <c r="K112" s="141"/>
      <c r="L112" s="141"/>
      <c r="M112" s="141"/>
      <c r="N112" s="141"/>
      <c r="O112" s="141"/>
      <c r="P112" s="141"/>
      <c r="R112" s="143"/>
    </row>
    <row r="113" spans="4:18">
      <c r="D113" s="141"/>
      <c r="E113" s="141"/>
      <c r="F113" s="161"/>
      <c r="G113" s="141"/>
      <c r="H113" s="141"/>
      <c r="I113" s="141"/>
      <c r="J113" s="142"/>
      <c r="K113" s="141"/>
      <c r="L113" s="141"/>
      <c r="M113" s="141"/>
      <c r="N113" s="141"/>
      <c r="O113" s="141"/>
      <c r="P113" s="141"/>
      <c r="R113" s="143"/>
    </row>
    <row r="114" spans="4:18">
      <c r="D114" s="141"/>
      <c r="E114" s="141"/>
      <c r="F114" s="161"/>
      <c r="G114" s="141"/>
      <c r="H114" s="141"/>
      <c r="I114" s="141"/>
      <c r="J114" s="142"/>
      <c r="K114" s="141"/>
      <c r="L114" s="141"/>
      <c r="M114" s="141"/>
      <c r="N114" s="141"/>
      <c r="O114" s="141"/>
      <c r="P114" s="141"/>
      <c r="R114" s="143"/>
    </row>
    <row r="115" spans="4:18">
      <c r="D115" s="141"/>
      <c r="E115" s="141"/>
      <c r="F115" s="161"/>
      <c r="G115" s="141"/>
      <c r="H115" s="141"/>
      <c r="I115" s="141"/>
      <c r="J115" s="142"/>
      <c r="K115" s="141"/>
      <c r="L115" s="141"/>
      <c r="M115" s="141"/>
      <c r="N115" s="141"/>
      <c r="O115" s="141"/>
      <c r="P115" s="141"/>
      <c r="R115" s="143"/>
    </row>
    <row r="116" spans="4:18">
      <c r="D116" s="141"/>
      <c r="E116" s="141"/>
      <c r="F116" s="161"/>
      <c r="G116" s="141"/>
      <c r="H116" s="141"/>
      <c r="I116" s="141"/>
      <c r="J116" s="142"/>
      <c r="K116" s="141"/>
      <c r="L116" s="141"/>
      <c r="M116" s="141"/>
      <c r="N116" s="141"/>
      <c r="O116" s="141"/>
      <c r="P116" s="141"/>
      <c r="R116" s="143"/>
    </row>
    <row r="117" spans="4:18">
      <c r="D117" s="141"/>
      <c r="E117" s="141"/>
      <c r="F117" s="161"/>
      <c r="G117" s="141"/>
      <c r="H117" s="141"/>
      <c r="I117" s="141"/>
      <c r="J117" s="142"/>
      <c r="K117" s="141"/>
      <c r="L117" s="141"/>
      <c r="M117" s="141"/>
      <c r="N117" s="141"/>
      <c r="O117" s="141"/>
      <c r="P117" s="141"/>
      <c r="R117" s="143"/>
    </row>
    <row r="118" spans="4:18">
      <c r="D118" s="141"/>
      <c r="E118" s="141"/>
      <c r="F118" s="161"/>
      <c r="G118" s="141"/>
      <c r="H118" s="141"/>
      <c r="I118" s="141"/>
      <c r="J118" s="144"/>
      <c r="K118" s="141"/>
      <c r="L118" s="141"/>
      <c r="M118" s="141"/>
      <c r="N118" s="141"/>
      <c r="O118" s="141"/>
      <c r="P118" s="141"/>
    </row>
    <row r="119" spans="4:18">
      <c r="D119" s="141"/>
      <c r="E119" s="141"/>
      <c r="F119" s="161"/>
      <c r="G119" s="141"/>
      <c r="H119" s="141"/>
      <c r="I119" s="141"/>
      <c r="J119" s="144"/>
      <c r="K119" s="141"/>
      <c r="L119" s="141"/>
      <c r="M119" s="141"/>
      <c r="N119" s="141"/>
      <c r="O119" s="141"/>
      <c r="P119" s="141"/>
    </row>
    <row r="120" spans="4:18" hidden="1" outlineLevel="1">
      <c r="K120" s="137" t="s">
        <v>211</v>
      </c>
      <c r="L120" s="131"/>
      <c r="M120" s="131"/>
      <c r="N120" s="131"/>
      <c r="O120" s="131"/>
    </row>
    <row r="121" spans="4:18" hidden="1" outlineLevel="1">
      <c r="K121" s="131"/>
      <c r="L121" s="131"/>
      <c r="M121" s="131"/>
      <c r="N121" s="131"/>
      <c r="O121" s="131"/>
    </row>
    <row r="122" spans="4:18" s="145" customFormat="1" ht="28.8" hidden="1" outlineLevel="1">
      <c r="F122" s="162"/>
      <c r="K122" s="146" t="s">
        <v>200</v>
      </c>
      <c r="L122" s="146" t="s">
        <v>212</v>
      </c>
      <c r="M122" s="146" t="s">
        <v>202</v>
      </c>
      <c r="N122" s="146" t="s">
        <v>207</v>
      </c>
      <c r="O122" s="146" t="s">
        <v>208</v>
      </c>
    </row>
    <row r="123" spans="4:18" hidden="1" outlineLevel="1">
      <c r="K123" s="131" t="e">
        <f>IF(L83&lt;=L127-150,K127,IF(L83&lt;=L128-150,K128,IF(L83&lt;=L129-150,K129,IF(L83&lt;=L130-150,K130,"индивидуальный расчет"))))</f>
        <v>#REF!</v>
      </c>
      <c r="L123" s="131" t="e">
        <f>IF(R86&lt;=M127,K127,IF(R86&lt;=M128,K128,IF(R86&lt;=M129,K129,IF(R86&lt;=M130,K130,"индивидуальный расчет"))))</f>
        <v>#REF!</v>
      </c>
      <c r="M123" s="131" t="e">
        <f>IF(B20="Навалом",VLOOKUP(K123,K127:O130,5,0),IF(VLOOKUP(K123,K127:L130,2,0)&gt;VLOOKUP(L123,K127:L130,2,0),K123,L123))</f>
        <v>#REF!</v>
      </c>
      <c r="N123" s="147">
        <f>B22</f>
        <v>0</v>
      </c>
      <c r="O123" s="136" t="e">
        <f>VLOOKUP(M123,K127:N130,4,0)*N123</f>
        <v>#REF!</v>
      </c>
    </row>
    <row r="124" spans="4:18" hidden="1" outlineLevel="1"/>
    <row r="125" spans="4:18" hidden="1" outlineLevel="1"/>
    <row r="126" spans="4:18" ht="31.2" hidden="1" outlineLevel="1">
      <c r="K126" s="148" t="s">
        <v>160</v>
      </c>
      <c r="L126" s="148" t="s">
        <v>199</v>
      </c>
      <c r="M126" s="148" t="s">
        <v>201</v>
      </c>
      <c r="N126" s="148" t="s">
        <v>206</v>
      </c>
      <c r="O126" s="148" t="s">
        <v>160</v>
      </c>
      <c r="Q126" s="149" t="s">
        <v>240</v>
      </c>
    </row>
    <row r="127" spans="4:18" ht="15.6" hidden="1" outlineLevel="1">
      <c r="G127" s="52" t="s">
        <v>242</v>
      </c>
      <c r="H127" s="52" t="s">
        <v>236</v>
      </c>
      <c r="J127" s="52" t="s">
        <v>234</v>
      </c>
      <c r="K127" s="150" t="s">
        <v>161</v>
      </c>
      <c r="L127" s="150">
        <v>2500</v>
      </c>
      <c r="M127" s="151">
        <v>4</v>
      </c>
      <c r="N127" s="152">
        <v>100</v>
      </c>
      <c r="O127" s="150" t="s">
        <v>161</v>
      </c>
      <c r="P127" s="141" t="s">
        <v>237</v>
      </c>
    </row>
    <row r="128" spans="4:18" ht="15.6" hidden="1" outlineLevel="1">
      <c r="G128" s="52" t="s">
        <v>243</v>
      </c>
      <c r="H128" s="52" t="s">
        <v>228</v>
      </c>
      <c r="J128" s="52" t="s">
        <v>231</v>
      </c>
      <c r="K128" s="153" t="s">
        <v>162</v>
      </c>
      <c r="L128" s="153">
        <v>5000</v>
      </c>
      <c r="M128" s="151">
        <v>12</v>
      </c>
      <c r="N128" s="151">
        <v>130</v>
      </c>
      <c r="O128" s="153" t="s">
        <v>162</v>
      </c>
      <c r="P128" s="141" t="s">
        <v>232</v>
      </c>
      <c r="Q128" s="52" t="s">
        <v>233</v>
      </c>
      <c r="R128" s="52" t="s">
        <v>238</v>
      </c>
    </row>
    <row r="129" spans="7:18" ht="15.6" hidden="1" outlineLevel="1">
      <c r="G129" s="52" t="s">
        <v>244</v>
      </c>
      <c r="H129" s="52" t="s">
        <v>228</v>
      </c>
      <c r="J129" s="52" t="s">
        <v>231</v>
      </c>
      <c r="K129" s="150" t="s">
        <v>163</v>
      </c>
      <c r="L129" s="150">
        <v>10000</v>
      </c>
      <c r="M129" s="151">
        <v>12</v>
      </c>
      <c r="N129" s="151">
        <v>150</v>
      </c>
      <c r="O129" s="150" t="s">
        <v>163</v>
      </c>
      <c r="P129" s="141" t="s">
        <v>232</v>
      </c>
      <c r="Q129" s="52" t="s">
        <v>233</v>
      </c>
      <c r="R129" s="52" t="s">
        <v>239</v>
      </c>
    </row>
    <row r="130" spans="7:18" ht="15.6" hidden="1" outlineLevel="1">
      <c r="G130" s="52" t="s">
        <v>244</v>
      </c>
      <c r="H130" s="52" t="s">
        <v>228</v>
      </c>
      <c r="J130" s="52" t="s">
        <v>229</v>
      </c>
      <c r="K130" s="150" t="s">
        <v>164</v>
      </c>
      <c r="L130" s="150">
        <v>20000</v>
      </c>
      <c r="M130" s="152">
        <v>26</v>
      </c>
      <c r="N130" s="152">
        <v>200</v>
      </c>
      <c r="O130" s="150" t="s">
        <v>164</v>
      </c>
      <c r="P130" s="141" t="s">
        <v>235</v>
      </c>
      <c r="Q130" s="52" t="s">
        <v>230</v>
      </c>
      <c r="R130" s="52" t="s">
        <v>239</v>
      </c>
    </row>
    <row r="131" spans="7:18" hidden="1" outlineLevel="1"/>
    <row r="132" spans="7:18" collapsed="1"/>
  </sheetData>
  <sheetProtection algorithmName="SHA-512" hashValue="XUuE9KrzV1vmwYl7VkffDXth8PNY4iMoWyngwioV1C/s7zvI2yKieTUj6Z/pN0TW6DbRvAjY9gjknncFt2WT+Q==" saltValue="3pZoaAoDYJLKOEb5EQZvqA==" spinCount="100000" sheet="1" objects="1" scenarios="1"/>
  <mergeCells count="2">
    <mergeCell ref="J2:Q7"/>
    <mergeCell ref="J9:Q11"/>
  </mergeCells>
  <phoneticPr fontId="43" type="noConversion"/>
  <conditionalFormatting sqref="B4:B5">
    <cfRule type="expression" dxfId="7" priority="34">
      <formula>EXACT(#REF!,"Не выбрано!")</formula>
    </cfRule>
  </conditionalFormatting>
  <conditionalFormatting sqref="B20:B21">
    <cfRule type="expression" dxfId="6" priority="4">
      <formula>EXACT(#REF!,"Не выбрано!")</formula>
    </cfRule>
  </conditionalFormatting>
  <conditionalFormatting sqref="G4:G5">
    <cfRule type="expression" dxfId="5" priority="3">
      <formula>EXACT(#REF!,"Не выбрано!")</formula>
    </cfRule>
  </conditionalFormatting>
  <dataValidations count="6">
    <dataValidation showInputMessage="1" showErrorMessage="1" sqref="H4:I5 C20:E21 C4:D5 E5" xr:uid="{74E61421-7A30-49A5-851C-29A83C973BD7}"/>
    <dataValidation type="list" allowBlank="1" showInputMessage="1" showErrorMessage="1" sqref="G4" xr:uid="{46EFF4AC-A668-4790-A67A-95B5E38AC751}">
      <formula1>"Не выбрано!, 16 неделя 2026 (13.04-17.04), 17 неделя 2026 (20.04-24.04), 18 неделя 2026 (27.04-30.04), 19 неделя 2026 (04.05-08.05), 20 неделя 2026 (12.05-15.05), 21 неделя 2026 (18.05-22.05)"</formula1>
    </dataValidation>
    <dataValidation type="list" allowBlank="1" showInputMessage="1" showErrorMessage="1" sqref="G5 B5" xr:uid="{AA726DA2-9883-49CE-B7C6-11D59B03FF83}">
      <formula1>"Не выбрано!,в кассу,на р/счет"</formula1>
    </dataValidation>
    <dataValidation type="list" allowBlank="1" showInputMessage="1" showErrorMessage="1" sqref="B20" xr:uid="{5B852611-B218-4C52-8F6E-5B35799C5380}">
      <formula1>"Не выбрано!,Навалом,В таре"</formula1>
    </dataValidation>
    <dataValidation type="list" allowBlank="1" showInputMessage="1" showErrorMessage="1" sqref="B21" xr:uid="{4F124E6A-83C2-4551-A253-F4DF0759B8C3}">
      <formula1>"Не выбрано!,Самовывоз,Доставка до ТК,Доставка до клиента"</formula1>
    </dataValidation>
    <dataValidation type="list" allowBlank="1" showInputMessage="1" showErrorMessage="1" sqref="B4" xr:uid="{44E2A6FA-9A40-4C5C-8594-74B8FCDAC895}">
      <formula1>"Не выбрано!, 17 неделя 2026 (20.04-24.04), 18 неделя 2026 (27.04-30.04), 19 неделя 2026 (04.05-08.05), 20 неделя 2026 (12.05-15.05), 21 неделя 2026 (18.05-22.05), 22 неделя 2026 (25.05-29.05)"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02BB-BF00-4322-84B3-00D48ABF4771}">
  <sheetPr>
    <tabColor theme="9" tint="0.39997558519241921"/>
  </sheetPr>
  <dimension ref="B1:AG204"/>
  <sheetViews>
    <sheetView showGridLines="0" tabSelected="1" zoomScale="85" zoomScaleNormal="85" workbookViewId="0">
      <selection activeCell="R18" sqref="R18"/>
    </sheetView>
  </sheetViews>
  <sheetFormatPr defaultColWidth="9.21875" defaultRowHeight="14.4" outlineLevelCol="1"/>
  <cols>
    <col min="1" max="1" width="2.77734375" style="163" customWidth="1"/>
    <col min="2" max="2" width="4.21875" style="237" hidden="1" customWidth="1" outlineLevel="1"/>
    <col min="3" max="3" width="12.77734375" style="163" hidden="1" customWidth="1" outlineLevel="1"/>
    <col min="4" max="4" width="5.44140625" style="208" hidden="1" customWidth="1" outlineLevel="1"/>
    <col min="5" max="8" width="5.33203125" style="240" hidden="1" customWidth="1" outlineLevel="1"/>
    <col min="9" max="9" width="5.109375" style="268" hidden="1" customWidth="1" outlineLevel="1"/>
    <col min="10" max="10" width="14.88671875" style="1" customWidth="1" collapsed="1"/>
    <col min="11" max="11" width="23.44140625" style="1" customWidth="1"/>
    <col min="12" max="12" width="20.88671875" style="1" customWidth="1"/>
    <col min="13" max="13" width="27.109375" style="1" customWidth="1"/>
    <col min="14" max="14" width="10.109375" style="1" customWidth="1"/>
    <col min="15" max="16" width="5.21875" style="1" customWidth="1"/>
    <col min="17" max="17" width="5.109375" style="172" customWidth="1"/>
    <col min="18" max="18" width="20" style="172" customWidth="1"/>
    <col min="19" max="19" width="6.109375" style="1" customWidth="1"/>
    <col min="20" max="20" width="6.6640625" style="174" customWidth="1"/>
    <col min="21" max="24" width="13.5546875" style="1" customWidth="1"/>
    <col min="25" max="25" width="10.5546875" style="1" customWidth="1"/>
    <col min="26" max="26" width="11.77734375" style="1" hidden="1" customWidth="1"/>
    <col min="27" max="27" width="15.21875" style="1" customWidth="1"/>
    <col min="28" max="28" width="8.77734375" style="1" customWidth="1"/>
    <col min="29" max="30" width="8.109375" style="1" customWidth="1"/>
    <col min="31" max="31" width="26.77734375" style="1" customWidth="1"/>
    <col min="32" max="32" width="7.109375" style="163" customWidth="1"/>
    <col min="33" max="16384" width="9.21875" style="163"/>
  </cols>
  <sheetData>
    <row r="1" spans="11:30" ht="20.399999999999999" customHeight="1">
      <c r="K1" s="170"/>
      <c r="M1" s="170"/>
      <c r="N1" s="170"/>
      <c r="Q1" s="171" t="s">
        <v>527</v>
      </c>
      <c r="S1" s="173"/>
      <c r="V1" s="295" t="s">
        <v>304</v>
      </c>
      <c r="W1" s="295"/>
      <c r="X1" s="234"/>
      <c r="Z1" s="219"/>
      <c r="AB1" s="234"/>
      <c r="AC1" s="234"/>
      <c r="AD1" s="234"/>
    </row>
    <row r="2" spans="11:30" ht="1.2" customHeight="1">
      <c r="L2" s="172"/>
      <c r="M2" s="170"/>
      <c r="N2" s="170"/>
      <c r="O2" s="2"/>
      <c r="P2" s="172"/>
      <c r="Q2" s="1"/>
      <c r="R2" s="175"/>
      <c r="S2" s="176"/>
      <c r="T2" s="1"/>
      <c r="V2" s="295"/>
      <c r="W2" s="295"/>
      <c r="X2" s="234"/>
      <c r="Y2" s="219"/>
      <c r="Z2" s="219"/>
      <c r="AA2" s="234"/>
      <c r="AB2" s="234"/>
      <c r="AC2" s="234"/>
      <c r="AD2" s="234"/>
    </row>
    <row r="3" spans="11:30" ht="13.2" customHeight="1">
      <c r="L3" s="172"/>
      <c r="M3" s="177" t="s">
        <v>65</v>
      </c>
      <c r="N3" s="261"/>
      <c r="O3" s="261"/>
      <c r="P3" s="261"/>
      <c r="Q3" s="261"/>
      <c r="R3" s="261"/>
      <c r="S3" s="261"/>
      <c r="T3" s="261"/>
      <c r="V3" s="295"/>
      <c r="W3" s="295"/>
      <c r="X3" s="234"/>
      <c r="Y3" s="219"/>
      <c r="Z3" s="219"/>
      <c r="AA3" s="234"/>
      <c r="AB3" s="234"/>
      <c r="AC3" s="234"/>
      <c r="AD3" s="234"/>
    </row>
    <row r="4" spans="11:30" ht="17.399999999999999" customHeight="1">
      <c r="L4" s="172"/>
      <c r="M4" s="301" t="s">
        <v>528</v>
      </c>
      <c r="N4" s="301"/>
      <c r="O4" s="301"/>
      <c r="P4" s="301"/>
      <c r="Q4" s="301"/>
      <c r="R4" s="301"/>
      <c r="S4" s="301"/>
      <c r="T4" s="301"/>
      <c r="V4" s="295"/>
      <c r="W4" s="295"/>
      <c r="X4" s="234"/>
      <c r="Y4" s="219"/>
      <c r="Z4" s="219"/>
      <c r="AA4" s="234"/>
      <c r="AB4" s="234"/>
      <c r="AC4" s="234"/>
      <c r="AD4" s="234"/>
    </row>
    <row r="5" spans="11:30" ht="11.4" customHeight="1">
      <c r="L5" s="172"/>
      <c r="M5" s="266" t="s">
        <v>282</v>
      </c>
      <c r="N5" s="172"/>
      <c r="O5" s="172"/>
      <c r="P5" s="170"/>
      <c r="Q5" s="170"/>
      <c r="R5" s="2"/>
      <c r="S5" s="172"/>
      <c r="T5" s="172"/>
      <c r="V5" s="234"/>
      <c r="W5" s="234"/>
      <c r="X5" s="235"/>
      <c r="Y5" s="219"/>
      <c r="Z5" s="219"/>
      <c r="AA5" s="234"/>
      <c r="AB5" s="234"/>
      <c r="AC5" s="234"/>
      <c r="AD5" s="234"/>
    </row>
    <row r="6" spans="11:30" ht="3" customHeight="1">
      <c r="L6" s="172"/>
      <c r="N6" s="172"/>
      <c r="O6" s="172"/>
      <c r="P6" s="170"/>
      <c r="Q6" s="170"/>
      <c r="R6" s="2"/>
      <c r="S6" s="172"/>
      <c r="T6" s="172"/>
      <c r="Y6" s="219"/>
      <c r="Z6" s="219"/>
      <c r="AA6" s="234"/>
      <c r="AB6" s="234"/>
      <c r="AC6" s="234"/>
      <c r="AD6" s="234"/>
    </row>
    <row r="7" spans="11:30" ht="12" customHeight="1">
      <c r="L7" s="172"/>
      <c r="M7" s="274" t="s">
        <v>432</v>
      </c>
      <c r="N7" s="275"/>
      <c r="O7" s="172"/>
      <c r="P7" s="170"/>
      <c r="Q7" s="170"/>
      <c r="R7" s="2"/>
      <c r="S7" s="172"/>
      <c r="T7" s="172"/>
      <c r="AB7" s="178"/>
      <c r="AC7" s="178"/>
    </row>
    <row r="8" spans="11:30" ht="3.6" customHeight="1">
      <c r="L8" s="172"/>
      <c r="M8" s="267"/>
      <c r="N8" s="172"/>
      <c r="O8" s="172"/>
      <c r="P8" s="170"/>
      <c r="Q8" s="170"/>
      <c r="R8" s="2"/>
      <c r="S8" s="172"/>
      <c r="T8" s="172"/>
      <c r="AB8" s="178"/>
      <c r="AC8" s="178"/>
    </row>
    <row r="9" spans="11:30" ht="2.4" customHeight="1">
      <c r="L9" s="172"/>
      <c r="M9" s="179"/>
      <c r="N9" s="172"/>
      <c r="O9" s="172"/>
      <c r="P9" s="170"/>
      <c r="Q9" s="170"/>
      <c r="R9" s="2"/>
      <c r="S9" s="172"/>
      <c r="T9" s="172"/>
    </row>
    <row r="10" spans="11:30" ht="12" customHeight="1">
      <c r="L10" s="172"/>
      <c r="M10" s="274" t="s">
        <v>433</v>
      </c>
      <c r="N10" s="275"/>
      <c r="O10" s="275"/>
      <c r="P10" s="276"/>
      <c r="Q10" s="276"/>
      <c r="R10" s="277"/>
      <c r="S10" s="172"/>
      <c r="T10" s="172"/>
    </row>
    <row r="11" spans="11:30" ht="12" customHeight="1">
      <c r="L11" s="172"/>
      <c r="M11" s="179" t="s">
        <v>306</v>
      </c>
      <c r="N11" s="172"/>
      <c r="O11" s="172"/>
      <c r="P11" s="170"/>
      <c r="Q11" s="170"/>
      <c r="R11" s="2"/>
      <c r="S11" s="172"/>
      <c r="T11" s="172"/>
    </row>
    <row r="12" spans="11:30" ht="10.8" customHeight="1">
      <c r="L12" s="172"/>
      <c r="M12" s="179" t="s">
        <v>302</v>
      </c>
      <c r="N12" s="218"/>
      <c r="O12" s="218"/>
      <c r="P12" s="218"/>
      <c r="Q12" s="218"/>
      <c r="R12" s="218"/>
      <c r="S12" s="218"/>
      <c r="T12" s="218"/>
      <c r="Z12" s="205"/>
      <c r="AA12" s="180"/>
    </row>
    <row r="13" spans="11:30">
      <c r="L13" s="172"/>
      <c r="M13" s="266" t="s">
        <v>431</v>
      </c>
      <c r="N13" s="170"/>
      <c r="O13" s="2"/>
      <c r="P13" s="172"/>
      <c r="Q13" s="1"/>
      <c r="R13" s="175"/>
      <c r="S13" s="176"/>
      <c r="T13" s="1"/>
      <c r="AA13" s="163"/>
      <c r="AB13" s="163"/>
      <c r="AC13" s="163"/>
    </row>
    <row r="14" spans="11:30" ht="4.8" customHeight="1" thickBot="1">
      <c r="L14" s="172"/>
      <c r="M14" s="181"/>
      <c r="N14" s="170"/>
      <c r="O14" s="2"/>
      <c r="P14" s="172"/>
      <c r="Q14" s="1"/>
      <c r="R14" s="175"/>
      <c r="S14" s="176"/>
      <c r="T14" s="1"/>
      <c r="AA14" s="180"/>
    </row>
    <row r="15" spans="11:30" ht="18">
      <c r="L15" s="172"/>
      <c r="M15" s="256" t="s">
        <v>62</v>
      </c>
      <c r="N15" s="170"/>
      <c r="Q15" s="1"/>
      <c r="R15" s="175"/>
      <c r="S15" s="176"/>
      <c r="T15" s="1"/>
      <c r="U15" s="296">
        <f>SUM(Y21:Y203)</f>
        <v>0</v>
      </c>
      <c r="V15" s="297"/>
      <c r="W15" s="241" t="s">
        <v>300</v>
      </c>
      <c r="X15" s="243"/>
      <c r="Y15" s="244"/>
      <c r="Z15" s="253"/>
      <c r="AA15" s="180"/>
    </row>
    <row r="16" spans="11:30" ht="18">
      <c r="L16" s="172"/>
      <c r="M16" s="181"/>
      <c r="N16" s="300" t="s">
        <v>63</v>
      </c>
      <c r="O16" s="300"/>
      <c r="P16" s="300"/>
      <c r="Q16" s="300"/>
      <c r="R16" s="300"/>
      <c r="S16" s="176"/>
      <c r="T16" s="279" t="str">
        <f>IF(U16=0, "", IF(U16&lt;35000, "ОШИБКА!!!", ""))</f>
        <v/>
      </c>
      <c r="U16" s="298">
        <f>SUM(AA21:AA203)</f>
        <v>0</v>
      </c>
      <c r="V16" s="299"/>
      <c r="W16" s="242" t="s">
        <v>301</v>
      </c>
      <c r="X16" s="247"/>
      <c r="Y16" s="248"/>
      <c r="Z16" s="253"/>
      <c r="AA16" s="282" t="str">
        <f>IF(U16=0, "", IF(U16&lt;35000, "НЕ СОБЛЮДЕНЫ УСЛОВИЯ минимальной суммы заказа", ""))</f>
        <v/>
      </c>
    </row>
    <row r="17" spans="2:32" ht="4.8" customHeight="1">
      <c r="L17" s="172"/>
      <c r="M17" s="181"/>
      <c r="N17" s="170"/>
      <c r="O17" s="2"/>
      <c r="P17" s="172"/>
      <c r="Q17" s="3"/>
      <c r="R17" s="175"/>
      <c r="S17" s="176"/>
      <c r="T17" s="1"/>
      <c r="U17" s="245"/>
      <c r="V17" s="246"/>
      <c r="W17" s="242"/>
      <c r="X17" s="247"/>
      <c r="Y17" s="248"/>
      <c r="Z17" s="253"/>
      <c r="AA17" s="180"/>
    </row>
    <row r="18" spans="2:32" ht="18" customHeight="1" thickBot="1">
      <c r="F18" s="293"/>
      <c r="L18" s="172"/>
      <c r="M18" s="181"/>
      <c r="N18" s="170"/>
      <c r="O18" s="2"/>
      <c r="Q18" s="182" t="s">
        <v>64</v>
      </c>
      <c r="R18" s="220" t="s">
        <v>526</v>
      </c>
      <c r="S18" s="176"/>
      <c r="T18" s="1"/>
      <c r="U18" s="280" t="s">
        <v>307</v>
      </c>
      <c r="V18" s="281"/>
      <c r="W18" s="281"/>
      <c r="X18" s="249"/>
      <c r="Y18" s="250"/>
      <c r="Z18" s="253"/>
      <c r="AA18" s="183"/>
    </row>
    <row r="19" spans="2:32" ht="16.2" customHeight="1">
      <c r="E19" s="294" t="s">
        <v>446</v>
      </c>
      <c r="F19" s="294"/>
      <c r="L19" s="172"/>
      <c r="M19" s="184"/>
      <c r="N19" s="170"/>
      <c r="O19" s="2"/>
      <c r="P19" s="172"/>
      <c r="Q19" s="1"/>
      <c r="R19" s="175"/>
      <c r="S19" s="176"/>
      <c r="T19" s="1"/>
      <c r="U19" s="257" t="s">
        <v>297</v>
      </c>
      <c r="V19" s="258"/>
      <c r="W19" s="257" t="s">
        <v>298</v>
      </c>
      <c r="X19" s="258"/>
      <c r="Z19" s="254">
        <f>SUM(Z21:Z203)</f>
        <v>0</v>
      </c>
      <c r="AA19" s="180"/>
    </row>
    <row r="20" spans="2:32" ht="66.599999999999994" customHeight="1">
      <c r="C20" s="164"/>
      <c r="D20" s="286" t="s">
        <v>423</v>
      </c>
      <c r="E20" s="290" t="s">
        <v>444</v>
      </c>
      <c r="F20" s="290" t="s">
        <v>445</v>
      </c>
      <c r="G20" s="286" t="s">
        <v>447</v>
      </c>
      <c r="H20" s="286" t="s">
        <v>428</v>
      </c>
      <c r="I20" s="269"/>
      <c r="J20" s="185" t="s">
        <v>245</v>
      </c>
      <c r="K20" s="185" t="s">
        <v>72</v>
      </c>
      <c r="L20" s="185" t="s">
        <v>71</v>
      </c>
      <c r="M20" s="185" t="s">
        <v>0</v>
      </c>
      <c r="N20" s="185" t="s">
        <v>73</v>
      </c>
      <c r="O20" s="185" t="s">
        <v>74</v>
      </c>
      <c r="P20" s="185" t="s">
        <v>75</v>
      </c>
      <c r="Q20" s="185" t="s">
        <v>76</v>
      </c>
      <c r="R20" s="185" t="s">
        <v>19</v>
      </c>
      <c r="S20" s="185" t="s">
        <v>77</v>
      </c>
      <c r="T20" s="185" t="s">
        <v>271</v>
      </c>
      <c r="U20" s="259" t="s">
        <v>424</v>
      </c>
      <c r="V20" s="259" t="s">
        <v>425</v>
      </c>
      <c r="W20" s="259" t="s">
        <v>426</v>
      </c>
      <c r="X20" s="260" t="s">
        <v>427</v>
      </c>
      <c r="Y20" s="185" t="s">
        <v>18</v>
      </c>
      <c r="Z20" s="217" t="s">
        <v>296</v>
      </c>
      <c r="AA20" s="185" t="s">
        <v>299</v>
      </c>
      <c r="AB20" s="185" t="s">
        <v>78</v>
      </c>
      <c r="AC20" s="186" t="s">
        <v>20</v>
      </c>
      <c r="AD20" s="186" t="s">
        <v>21</v>
      </c>
      <c r="AE20" s="186" t="s">
        <v>22</v>
      </c>
      <c r="AF20" s="163" t="s">
        <v>25</v>
      </c>
    </row>
    <row r="21" spans="2:32" s="165" customFormat="1" ht="18" customHeight="1">
      <c r="B21" s="238"/>
      <c r="C21" s="166" t="s">
        <v>79</v>
      </c>
      <c r="D21" s="209"/>
      <c r="E21" s="209"/>
      <c r="F21" s="209"/>
      <c r="G21" s="209"/>
      <c r="H21" s="209"/>
      <c r="I21" s="270"/>
      <c r="J21" s="284" t="s">
        <v>441</v>
      </c>
      <c r="K21" s="264"/>
      <c r="L21" s="262"/>
      <c r="M21" s="262"/>
      <c r="N21" s="263"/>
      <c r="O21" s="263"/>
      <c r="P21" s="263"/>
      <c r="Q21" s="262"/>
      <c r="R21" s="262"/>
      <c r="S21" s="187"/>
      <c r="T21" s="188"/>
      <c r="U21" s="189"/>
      <c r="V21" s="189"/>
      <c r="W21" s="189"/>
      <c r="X21" s="189"/>
      <c r="Y21" s="4"/>
      <c r="Z21" s="189"/>
      <c r="AA21" s="189"/>
      <c r="AB21" s="189"/>
      <c r="AC21" s="190"/>
      <c r="AD21" s="190"/>
      <c r="AE21" s="191"/>
      <c r="AF21" s="163"/>
    </row>
    <row r="22" spans="2:32" s="169" customFormat="1">
      <c r="B22" s="239"/>
      <c r="C22" s="192" t="s">
        <v>451</v>
      </c>
      <c r="D22" s="252"/>
      <c r="E22" s="252"/>
      <c r="F22" s="252"/>
      <c r="G22" s="252"/>
      <c r="H22" s="252">
        <v>3</v>
      </c>
      <c r="I22" s="192" t="s">
        <v>17</v>
      </c>
      <c r="J22" s="192" t="s">
        <v>442</v>
      </c>
      <c r="K22" s="192" t="s">
        <v>187</v>
      </c>
      <c r="L22" s="192" t="s">
        <v>186</v>
      </c>
      <c r="M22" s="192" t="s">
        <v>173</v>
      </c>
      <c r="N22" s="251" t="s">
        <v>422</v>
      </c>
      <c r="O22" s="210" t="s">
        <v>410</v>
      </c>
      <c r="P22" s="287"/>
      <c r="Q22" s="287"/>
      <c r="R22" s="265"/>
      <c r="S22" s="193" t="s">
        <v>80</v>
      </c>
      <c r="T22" s="212">
        <v>1</v>
      </c>
      <c r="U22" s="215">
        <v>4125</v>
      </c>
      <c r="V22" s="278">
        <v>4000</v>
      </c>
      <c r="W22" s="278">
        <v>3750</v>
      </c>
      <c r="X22" s="278">
        <v>3525</v>
      </c>
      <c r="Y22" s="5"/>
      <c r="Z22" s="216">
        <f t="shared" ref="Z22:Z85" si="0">U22*Y22</f>
        <v>0</v>
      </c>
      <c r="AA22" s="255">
        <f t="shared" ref="AA22:AA85" si="1">IF(V22&lt;&gt;"",IF(AND($Z$19&gt;=200000,Y22&gt;=20),Y22*X22,IF(AND($Z$19&gt;=200000,Y22&lt;20),Y22*W22,IF(AND($Z$19&lt;200000,Y22&gt;=20),Y22*V22,Y22*U22))),IF($Z$19&gt;=200000,Y22*W22,Y22*U22))</f>
        <v>0</v>
      </c>
      <c r="AB22" s="194"/>
      <c r="AC22" s="195"/>
      <c r="AD22" s="196"/>
      <c r="AE22" s="196"/>
      <c r="AF22" s="168" t="str">
        <f t="shared" ref="AF22:AF36" si="2">IF(Y22/T22=0,"",IF(MOD(Y22,T22)&gt;0,"ОШИБКА!!! неверная кратность на сорт",""))</f>
        <v/>
      </c>
    </row>
    <row r="23" spans="2:32" s="169" customFormat="1">
      <c r="B23" s="239"/>
      <c r="C23" s="192" t="s">
        <v>452</v>
      </c>
      <c r="D23" s="252"/>
      <c r="E23" s="252"/>
      <c r="F23" s="252"/>
      <c r="G23" s="252"/>
      <c r="H23" s="252">
        <v>4</v>
      </c>
      <c r="I23" s="192" t="s">
        <v>17</v>
      </c>
      <c r="J23" s="192" t="s">
        <v>442</v>
      </c>
      <c r="K23" s="192" t="s">
        <v>187</v>
      </c>
      <c r="L23" s="192" t="s">
        <v>186</v>
      </c>
      <c r="M23" s="192" t="s">
        <v>173</v>
      </c>
      <c r="N23" s="251" t="s">
        <v>422</v>
      </c>
      <c r="O23" s="210" t="s">
        <v>58</v>
      </c>
      <c r="P23" s="287"/>
      <c r="Q23" s="287"/>
      <c r="R23" s="265"/>
      <c r="S23" s="193" t="s">
        <v>80</v>
      </c>
      <c r="T23" s="212">
        <v>1</v>
      </c>
      <c r="U23" s="215">
        <v>4917</v>
      </c>
      <c r="V23" s="278">
        <v>4768</v>
      </c>
      <c r="W23" s="278">
        <v>4470</v>
      </c>
      <c r="X23" s="278">
        <v>4202</v>
      </c>
      <c r="Y23" s="5"/>
      <c r="Z23" s="216">
        <f t="shared" si="0"/>
        <v>0</v>
      </c>
      <c r="AA23" s="255">
        <f t="shared" si="1"/>
        <v>0</v>
      </c>
      <c r="AB23" s="194"/>
      <c r="AC23" s="195"/>
      <c r="AD23" s="196"/>
      <c r="AE23" s="196"/>
      <c r="AF23" s="168" t="str">
        <f t="shared" si="2"/>
        <v/>
      </c>
    </row>
    <row r="24" spans="2:32" s="169" customFormat="1">
      <c r="B24" s="239"/>
      <c r="C24" s="192" t="s">
        <v>453</v>
      </c>
      <c r="D24" s="252"/>
      <c r="E24" s="252"/>
      <c r="F24" s="252"/>
      <c r="G24" s="252"/>
      <c r="H24" s="252">
        <v>9</v>
      </c>
      <c r="I24" s="192" t="s">
        <v>17</v>
      </c>
      <c r="J24" s="192" t="s">
        <v>442</v>
      </c>
      <c r="K24" s="192" t="s">
        <v>187</v>
      </c>
      <c r="L24" s="192" t="s">
        <v>186</v>
      </c>
      <c r="M24" s="192" t="s">
        <v>173</v>
      </c>
      <c r="N24" s="251" t="s">
        <v>422</v>
      </c>
      <c r="O24" s="210" t="s">
        <v>411</v>
      </c>
      <c r="P24" s="287"/>
      <c r="Q24" s="287"/>
      <c r="R24" s="265"/>
      <c r="S24" s="193" t="s">
        <v>80</v>
      </c>
      <c r="T24" s="212">
        <v>1</v>
      </c>
      <c r="U24" s="215">
        <v>5445</v>
      </c>
      <c r="V24" s="278">
        <v>5280</v>
      </c>
      <c r="W24" s="278">
        <v>4950</v>
      </c>
      <c r="X24" s="278">
        <v>4653</v>
      </c>
      <c r="Y24" s="5"/>
      <c r="Z24" s="216">
        <f t="shared" si="0"/>
        <v>0</v>
      </c>
      <c r="AA24" s="255">
        <f t="shared" si="1"/>
        <v>0</v>
      </c>
      <c r="AB24" s="194"/>
      <c r="AC24" s="195"/>
      <c r="AD24" s="196"/>
      <c r="AE24" s="196"/>
      <c r="AF24" s="168" t="str">
        <f t="shared" si="2"/>
        <v/>
      </c>
    </row>
    <row r="25" spans="2:32" s="169" customFormat="1">
      <c r="B25" s="239"/>
      <c r="C25" s="192" t="s">
        <v>454</v>
      </c>
      <c r="D25" s="252"/>
      <c r="E25" s="252"/>
      <c r="F25" s="252"/>
      <c r="G25" s="252"/>
      <c r="H25" s="252">
        <v>17</v>
      </c>
      <c r="I25" s="192" t="s">
        <v>17</v>
      </c>
      <c r="J25" s="192" t="s">
        <v>442</v>
      </c>
      <c r="K25" s="192" t="s">
        <v>187</v>
      </c>
      <c r="L25" s="192" t="s">
        <v>186</v>
      </c>
      <c r="M25" s="192" t="s">
        <v>173</v>
      </c>
      <c r="N25" s="251" t="s">
        <v>422</v>
      </c>
      <c r="O25" s="210" t="s">
        <v>412</v>
      </c>
      <c r="P25" s="287"/>
      <c r="Q25" s="287"/>
      <c r="R25" s="265"/>
      <c r="S25" s="193" t="s">
        <v>80</v>
      </c>
      <c r="T25" s="212">
        <v>1</v>
      </c>
      <c r="U25" s="215">
        <v>6319</v>
      </c>
      <c r="V25" s="278">
        <v>6128</v>
      </c>
      <c r="W25" s="278">
        <v>5745</v>
      </c>
      <c r="X25" s="278">
        <v>5400</v>
      </c>
      <c r="Y25" s="5"/>
      <c r="Z25" s="216">
        <f t="shared" si="0"/>
        <v>0</v>
      </c>
      <c r="AA25" s="255">
        <f t="shared" si="1"/>
        <v>0</v>
      </c>
      <c r="AB25" s="194"/>
      <c r="AC25" s="195"/>
      <c r="AD25" s="196"/>
      <c r="AE25" s="196"/>
      <c r="AF25" s="168" t="str">
        <f t="shared" si="2"/>
        <v/>
      </c>
    </row>
    <row r="26" spans="2:32" s="169" customFormat="1">
      <c r="B26" s="239"/>
      <c r="C26" s="192" t="s">
        <v>455</v>
      </c>
      <c r="D26" s="252"/>
      <c r="E26" s="252"/>
      <c r="F26" s="252"/>
      <c r="G26" s="252"/>
      <c r="H26" s="252">
        <v>33</v>
      </c>
      <c r="I26" s="192" t="s">
        <v>17</v>
      </c>
      <c r="J26" s="192" t="s">
        <v>442</v>
      </c>
      <c r="K26" s="192" t="s">
        <v>187</v>
      </c>
      <c r="L26" s="192" t="s">
        <v>186</v>
      </c>
      <c r="M26" s="192" t="s">
        <v>173</v>
      </c>
      <c r="N26" s="251" t="s">
        <v>422</v>
      </c>
      <c r="O26" s="210" t="s">
        <v>407</v>
      </c>
      <c r="P26" s="287"/>
      <c r="Q26" s="287"/>
      <c r="R26" s="265"/>
      <c r="S26" s="193" t="s">
        <v>80</v>
      </c>
      <c r="T26" s="212">
        <v>1</v>
      </c>
      <c r="U26" s="215">
        <v>6848</v>
      </c>
      <c r="V26" s="278">
        <v>6640</v>
      </c>
      <c r="W26" s="278">
        <v>6225</v>
      </c>
      <c r="X26" s="278">
        <v>5852</v>
      </c>
      <c r="Y26" s="5"/>
      <c r="Z26" s="216">
        <f t="shared" si="0"/>
        <v>0</v>
      </c>
      <c r="AA26" s="255">
        <f t="shared" si="1"/>
        <v>0</v>
      </c>
      <c r="AB26" s="194"/>
      <c r="AC26" s="195"/>
      <c r="AD26" s="196"/>
      <c r="AE26" s="196"/>
      <c r="AF26" s="168" t="str">
        <f t="shared" si="2"/>
        <v/>
      </c>
    </row>
    <row r="27" spans="2:32" s="169" customFormat="1">
      <c r="B27" s="239"/>
      <c r="C27" s="192" t="s">
        <v>456</v>
      </c>
      <c r="D27" s="252"/>
      <c r="E27" s="252"/>
      <c r="F27" s="252"/>
      <c r="G27" s="252"/>
      <c r="H27" s="252">
        <v>49</v>
      </c>
      <c r="I27" s="192" t="s">
        <v>17</v>
      </c>
      <c r="J27" s="192" t="s">
        <v>442</v>
      </c>
      <c r="K27" s="192" t="s">
        <v>187</v>
      </c>
      <c r="L27" s="192" t="s">
        <v>186</v>
      </c>
      <c r="M27" s="192" t="s">
        <v>173</v>
      </c>
      <c r="N27" s="251" t="s">
        <v>422</v>
      </c>
      <c r="O27" s="210" t="s">
        <v>413</v>
      </c>
      <c r="P27" s="287"/>
      <c r="Q27" s="287"/>
      <c r="R27" s="265"/>
      <c r="S27" s="193" t="s">
        <v>80</v>
      </c>
      <c r="T27" s="212">
        <v>1</v>
      </c>
      <c r="U27" s="215">
        <v>7574</v>
      </c>
      <c r="V27" s="278">
        <v>7344</v>
      </c>
      <c r="W27" s="278">
        <v>6885</v>
      </c>
      <c r="X27" s="278">
        <v>6472</v>
      </c>
      <c r="Y27" s="5"/>
      <c r="Z27" s="216">
        <f t="shared" si="0"/>
        <v>0</v>
      </c>
      <c r="AA27" s="255">
        <f t="shared" si="1"/>
        <v>0</v>
      </c>
      <c r="AB27" s="194"/>
      <c r="AC27" s="195"/>
      <c r="AD27" s="196"/>
      <c r="AE27" s="196"/>
      <c r="AF27" s="168" t="str">
        <f t="shared" si="2"/>
        <v/>
      </c>
    </row>
    <row r="28" spans="2:32" s="169" customFormat="1">
      <c r="B28" s="239"/>
      <c r="C28" s="192" t="s">
        <v>457</v>
      </c>
      <c r="D28" s="252"/>
      <c r="E28" s="252"/>
      <c r="F28" s="252"/>
      <c r="G28" s="252"/>
      <c r="H28" s="252">
        <v>38</v>
      </c>
      <c r="I28" s="192" t="s">
        <v>17</v>
      </c>
      <c r="J28" s="192" t="s">
        <v>442</v>
      </c>
      <c r="K28" s="192" t="s">
        <v>187</v>
      </c>
      <c r="L28" s="192" t="s">
        <v>186</v>
      </c>
      <c r="M28" s="192" t="s">
        <v>173</v>
      </c>
      <c r="N28" s="251" t="s">
        <v>422</v>
      </c>
      <c r="O28" s="210" t="s">
        <v>408</v>
      </c>
      <c r="P28" s="287"/>
      <c r="Q28" s="287"/>
      <c r="R28" s="265"/>
      <c r="S28" s="193" t="s">
        <v>80</v>
      </c>
      <c r="T28" s="212">
        <v>1</v>
      </c>
      <c r="U28" s="215">
        <v>8399</v>
      </c>
      <c r="V28" s="278">
        <v>8144</v>
      </c>
      <c r="W28" s="278">
        <v>7635</v>
      </c>
      <c r="X28" s="278">
        <v>7177</v>
      </c>
      <c r="Y28" s="5"/>
      <c r="Z28" s="216">
        <f t="shared" si="0"/>
        <v>0</v>
      </c>
      <c r="AA28" s="255">
        <f t="shared" si="1"/>
        <v>0</v>
      </c>
      <c r="AB28" s="194"/>
      <c r="AC28" s="195"/>
      <c r="AD28" s="196"/>
      <c r="AE28" s="196"/>
      <c r="AF28" s="168" t="str">
        <f t="shared" si="2"/>
        <v/>
      </c>
    </row>
    <row r="29" spans="2:32" s="169" customFormat="1">
      <c r="B29" s="239"/>
      <c r="C29" s="192" t="s">
        <v>356</v>
      </c>
      <c r="D29" s="252"/>
      <c r="E29" s="252"/>
      <c r="F29" s="252"/>
      <c r="G29" s="252"/>
      <c r="H29" s="252"/>
      <c r="I29" s="192" t="s">
        <v>17</v>
      </c>
      <c r="J29" s="287" t="s">
        <v>442</v>
      </c>
      <c r="K29" s="287" t="s">
        <v>61</v>
      </c>
      <c r="L29" s="287" t="s">
        <v>60</v>
      </c>
      <c r="M29" s="287"/>
      <c r="N29" s="291" t="s">
        <v>422</v>
      </c>
      <c r="O29" s="287" t="s">
        <v>406</v>
      </c>
      <c r="P29" s="287"/>
      <c r="Q29" s="287"/>
      <c r="R29" s="265"/>
      <c r="S29" s="193" t="s">
        <v>80</v>
      </c>
      <c r="T29" s="212">
        <v>1</v>
      </c>
      <c r="U29" s="215">
        <v>4125</v>
      </c>
      <c r="V29" s="278">
        <v>4000</v>
      </c>
      <c r="W29" s="278">
        <v>3750</v>
      </c>
      <c r="X29" s="278">
        <v>3525</v>
      </c>
      <c r="Y29" s="5"/>
      <c r="Z29" s="216">
        <f t="shared" si="0"/>
        <v>0</v>
      </c>
      <c r="AA29" s="255">
        <f t="shared" si="1"/>
        <v>0</v>
      </c>
      <c r="AB29" s="194" t="s">
        <v>305</v>
      </c>
      <c r="AC29" s="195"/>
      <c r="AD29" s="196"/>
      <c r="AE29" s="196"/>
      <c r="AF29" s="168" t="str">
        <f t="shared" si="2"/>
        <v/>
      </c>
    </row>
    <row r="30" spans="2:32" s="169" customFormat="1">
      <c r="B30" s="239"/>
      <c r="C30" s="192" t="s">
        <v>360</v>
      </c>
      <c r="D30" s="252"/>
      <c r="E30" s="252"/>
      <c r="F30" s="252"/>
      <c r="G30" s="252"/>
      <c r="H30" s="252"/>
      <c r="I30" s="192" t="s">
        <v>17</v>
      </c>
      <c r="J30" s="287" t="s">
        <v>442</v>
      </c>
      <c r="K30" s="287" t="s">
        <v>357</v>
      </c>
      <c r="L30" s="287" t="s">
        <v>358</v>
      </c>
      <c r="M30" s="287" t="s">
        <v>359</v>
      </c>
      <c r="N30" s="291" t="s">
        <v>422</v>
      </c>
      <c r="O30" s="287" t="s">
        <v>407</v>
      </c>
      <c r="P30" s="287"/>
      <c r="Q30" s="287"/>
      <c r="R30" s="265"/>
      <c r="S30" s="193" t="s">
        <v>80</v>
      </c>
      <c r="T30" s="212">
        <v>1</v>
      </c>
      <c r="U30" s="215">
        <v>5940</v>
      </c>
      <c r="V30" s="278">
        <v>5760</v>
      </c>
      <c r="W30" s="278">
        <v>5400</v>
      </c>
      <c r="X30" s="278">
        <v>5076</v>
      </c>
      <c r="Y30" s="5"/>
      <c r="Z30" s="216">
        <f t="shared" si="0"/>
        <v>0</v>
      </c>
      <c r="AA30" s="255">
        <f t="shared" si="1"/>
        <v>0</v>
      </c>
      <c r="AB30" s="194" t="s">
        <v>305</v>
      </c>
      <c r="AC30" s="195"/>
      <c r="AD30" s="196"/>
      <c r="AE30" s="196"/>
      <c r="AF30" s="168" t="str">
        <f t="shared" si="2"/>
        <v/>
      </c>
    </row>
    <row r="31" spans="2:32" s="169" customFormat="1">
      <c r="B31" s="239"/>
      <c r="C31" s="192" t="s">
        <v>361</v>
      </c>
      <c r="D31" s="252"/>
      <c r="E31" s="252"/>
      <c r="F31" s="252"/>
      <c r="G31" s="252"/>
      <c r="H31" s="252"/>
      <c r="I31" s="192" t="s">
        <v>17</v>
      </c>
      <c r="J31" s="287" t="s">
        <v>442</v>
      </c>
      <c r="K31" s="287" t="s">
        <v>357</v>
      </c>
      <c r="L31" s="287" t="s">
        <v>358</v>
      </c>
      <c r="M31" s="287" t="s">
        <v>359</v>
      </c>
      <c r="N31" s="291" t="s">
        <v>422</v>
      </c>
      <c r="O31" s="287" t="s">
        <v>408</v>
      </c>
      <c r="P31" s="287"/>
      <c r="Q31" s="287"/>
      <c r="R31" s="265"/>
      <c r="S31" s="193" t="s">
        <v>80</v>
      </c>
      <c r="T31" s="212">
        <v>1</v>
      </c>
      <c r="U31" s="215">
        <v>6930</v>
      </c>
      <c r="V31" s="278">
        <v>6720</v>
      </c>
      <c r="W31" s="278">
        <v>6300</v>
      </c>
      <c r="X31" s="278">
        <v>5922</v>
      </c>
      <c r="Y31" s="5"/>
      <c r="Z31" s="216">
        <f t="shared" si="0"/>
        <v>0</v>
      </c>
      <c r="AA31" s="255">
        <f t="shared" si="1"/>
        <v>0</v>
      </c>
      <c r="AB31" s="194" t="s">
        <v>305</v>
      </c>
      <c r="AC31" s="195"/>
      <c r="AD31" s="196"/>
      <c r="AE31" s="196"/>
      <c r="AF31" s="168" t="str">
        <f t="shared" si="2"/>
        <v/>
      </c>
    </row>
    <row r="32" spans="2:32" s="169" customFormat="1">
      <c r="B32" s="239"/>
      <c r="C32" s="192" t="s">
        <v>362</v>
      </c>
      <c r="D32" s="252"/>
      <c r="E32" s="252"/>
      <c r="F32" s="252"/>
      <c r="G32" s="252"/>
      <c r="H32" s="252">
        <v>18</v>
      </c>
      <c r="I32" s="192" t="s">
        <v>17</v>
      </c>
      <c r="J32" s="192" t="s">
        <v>442</v>
      </c>
      <c r="K32" s="192" t="s">
        <v>357</v>
      </c>
      <c r="L32" s="192" t="s">
        <v>358</v>
      </c>
      <c r="M32" s="192" t="s">
        <v>359</v>
      </c>
      <c r="N32" s="251" t="s">
        <v>422</v>
      </c>
      <c r="O32" s="192" t="s">
        <v>409</v>
      </c>
      <c r="P32" s="192"/>
      <c r="Q32" s="287"/>
      <c r="R32" s="265"/>
      <c r="S32" s="193" t="s">
        <v>80</v>
      </c>
      <c r="T32" s="212">
        <v>1</v>
      </c>
      <c r="U32" s="215">
        <v>7920</v>
      </c>
      <c r="V32" s="278">
        <v>7680</v>
      </c>
      <c r="W32" s="278">
        <v>7200</v>
      </c>
      <c r="X32" s="278">
        <v>6768</v>
      </c>
      <c r="Y32" s="5"/>
      <c r="Z32" s="216">
        <f t="shared" si="0"/>
        <v>0</v>
      </c>
      <c r="AA32" s="255">
        <f t="shared" si="1"/>
        <v>0</v>
      </c>
      <c r="AB32" s="194"/>
      <c r="AC32" s="195"/>
      <c r="AD32" s="196"/>
      <c r="AE32" s="196"/>
      <c r="AF32" s="168" t="str">
        <f t="shared" si="2"/>
        <v/>
      </c>
    </row>
    <row r="33" spans="2:32" s="169" customFormat="1">
      <c r="B33" s="239"/>
      <c r="C33" s="192" t="s">
        <v>365</v>
      </c>
      <c r="D33" s="252"/>
      <c r="E33" s="252"/>
      <c r="F33" s="252"/>
      <c r="G33" s="252"/>
      <c r="H33" s="252">
        <v>13</v>
      </c>
      <c r="I33" s="192" t="s">
        <v>17</v>
      </c>
      <c r="J33" s="192" t="s">
        <v>442</v>
      </c>
      <c r="K33" s="192" t="s">
        <v>364</v>
      </c>
      <c r="L33" s="192" t="s">
        <v>294</v>
      </c>
      <c r="M33" s="192" t="s">
        <v>363</v>
      </c>
      <c r="N33" s="251" t="s">
        <v>422</v>
      </c>
      <c r="O33" s="192" t="s">
        <v>409</v>
      </c>
      <c r="P33" s="192"/>
      <c r="Q33" s="287"/>
      <c r="R33" s="265"/>
      <c r="S33" s="193" t="s">
        <v>80</v>
      </c>
      <c r="T33" s="212">
        <v>1</v>
      </c>
      <c r="U33" s="215">
        <v>15840</v>
      </c>
      <c r="V33" s="278">
        <v>15360</v>
      </c>
      <c r="W33" s="278">
        <v>14400</v>
      </c>
      <c r="X33" s="278">
        <v>13536</v>
      </c>
      <c r="Y33" s="5"/>
      <c r="Z33" s="216">
        <f t="shared" si="0"/>
        <v>0</v>
      </c>
      <c r="AA33" s="255">
        <f t="shared" si="1"/>
        <v>0</v>
      </c>
      <c r="AB33" s="194"/>
      <c r="AC33" s="195"/>
      <c r="AD33" s="196"/>
      <c r="AE33" s="196"/>
      <c r="AF33" s="168" t="str">
        <f t="shared" si="2"/>
        <v/>
      </c>
    </row>
    <row r="34" spans="2:32" s="169" customFormat="1">
      <c r="B34" s="239"/>
      <c r="C34" s="167" t="s">
        <v>312</v>
      </c>
      <c r="D34" s="252">
        <v>1</v>
      </c>
      <c r="E34" s="252"/>
      <c r="F34" s="252"/>
      <c r="G34" s="252">
        <v>0</v>
      </c>
      <c r="H34" s="252">
        <v>8</v>
      </c>
      <c r="I34" s="192" t="s">
        <v>17</v>
      </c>
      <c r="J34" s="192" t="s">
        <v>443</v>
      </c>
      <c r="K34" s="192" t="s">
        <v>24</v>
      </c>
      <c r="L34" s="192" t="s">
        <v>23</v>
      </c>
      <c r="M34" s="192" t="s">
        <v>311</v>
      </c>
      <c r="N34" s="251" t="s">
        <v>422</v>
      </c>
      <c r="O34" s="210" t="s">
        <v>410</v>
      </c>
      <c r="P34" s="210"/>
      <c r="Q34" s="210"/>
      <c r="R34" s="265"/>
      <c r="S34" s="193" t="s">
        <v>80</v>
      </c>
      <c r="T34" s="212">
        <v>1</v>
      </c>
      <c r="U34" s="215">
        <v>4446</v>
      </c>
      <c r="V34" s="278">
        <v>4311</v>
      </c>
      <c r="W34" s="278">
        <v>4041</v>
      </c>
      <c r="X34" s="278">
        <v>3799</v>
      </c>
      <c r="Y34" s="5"/>
      <c r="Z34" s="216">
        <f t="shared" si="0"/>
        <v>0</v>
      </c>
      <c r="AA34" s="255">
        <f t="shared" si="1"/>
        <v>0</v>
      </c>
      <c r="AB34" s="194"/>
      <c r="AC34" s="195"/>
      <c r="AD34" s="196"/>
      <c r="AE34" s="196"/>
      <c r="AF34" s="168" t="str">
        <f t="shared" si="2"/>
        <v/>
      </c>
    </row>
    <row r="35" spans="2:32" s="169" customFormat="1">
      <c r="B35" s="239"/>
      <c r="C35" s="167" t="s">
        <v>313</v>
      </c>
      <c r="D35" s="252">
        <v>4</v>
      </c>
      <c r="E35" s="252"/>
      <c r="F35" s="252"/>
      <c r="G35" s="252">
        <v>2</v>
      </c>
      <c r="H35" s="252">
        <v>3</v>
      </c>
      <c r="I35" s="192" t="s">
        <v>17</v>
      </c>
      <c r="J35" s="192" t="s">
        <v>443</v>
      </c>
      <c r="K35" s="192" t="s">
        <v>24</v>
      </c>
      <c r="L35" s="192" t="s">
        <v>23</v>
      </c>
      <c r="M35" s="192" t="s">
        <v>311</v>
      </c>
      <c r="N35" s="251" t="s">
        <v>422</v>
      </c>
      <c r="O35" s="210" t="s">
        <v>58</v>
      </c>
      <c r="P35" s="210"/>
      <c r="Q35" s="210"/>
      <c r="R35" s="265"/>
      <c r="S35" s="193" t="s">
        <v>80</v>
      </c>
      <c r="T35" s="212">
        <v>1</v>
      </c>
      <c r="U35" s="215">
        <v>4842</v>
      </c>
      <c r="V35" s="278">
        <v>4695</v>
      </c>
      <c r="W35" s="278">
        <v>4401</v>
      </c>
      <c r="X35" s="278">
        <v>4137</v>
      </c>
      <c r="Y35" s="5"/>
      <c r="Z35" s="216">
        <f t="shared" si="0"/>
        <v>0</v>
      </c>
      <c r="AA35" s="255">
        <f t="shared" si="1"/>
        <v>0</v>
      </c>
      <c r="AB35" s="194"/>
      <c r="AC35" s="195"/>
      <c r="AD35" s="196"/>
      <c r="AE35" s="196"/>
      <c r="AF35" s="168" t="str">
        <f t="shared" si="2"/>
        <v/>
      </c>
    </row>
    <row r="36" spans="2:32" s="169" customFormat="1">
      <c r="B36" s="239"/>
      <c r="C36" s="167" t="s">
        <v>314</v>
      </c>
      <c r="D36" s="252"/>
      <c r="E36" s="252"/>
      <c r="F36" s="252"/>
      <c r="G36" s="252"/>
      <c r="H36" s="252">
        <v>5</v>
      </c>
      <c r="I36" s="192" t="s">
        <v>17</v>
      </c>
      <c r="J36" s="192" t="s">
        <v>443</v>
      </c>
      <c r="K36" s="192" t="s">
        <v>24</v>
      </c>
      <c r="L36" s="192" t="s">
        <v>23</v>
      </c>
      <c r="M36" s="192" t="s">
        <v>311</v>
      </c>
      <c r="N36" s="251" t="s">
        <v>422</v>
      </c>
      <c r="O36" s="210" t="s">
        <v>411</v>
      </c>
      <c r="P36" s="288"/>
      <c r="Q36" s="288"/>
      <c r="R36" s="265"/>
      <c r="S36" s="193" t="s">
        <v>80</v>
      </c>
      <c r="T36" s="212">
        <v>1</v>
      </c>
      <c r="U36" s="215">
        <v>5247</v>
      </c>
      <c r="V36" s="278">
        <v>5088</v>
      </c>
      <c r="W36" s="278">
        <v>4770</v>
      </c>
      <c r="X36" s="278">
        <v>4484</v>
      </c>
      <c r="Y36" s="5"/>
      <c r="Z36" s="216">
        <f t="shared" si="0"/>
        <v>0</v>
      </c>
      <c r="AA36" s="255">
        <f t="shared" si="1"/>
        <v>0</v>
      </c>
      <c r="AB36" s="194"/>
      <c r="AC36" s="195"/>
      <c r="AD36" s="196"/>
      <c r="AE36" s="196"/>
      <c r="AF36" s="168" t="str">
        <f t="shared" si="2"/>
        <v/>
      </c>
    </row>
    <row r="37" spans="2:32" s="169" customFormat="1">
      <c r="B37" s="239"/>
      <c r="C37" s="167" t="s">
        <v>448</v>
      </c>
      <c r="D37" s="252"/>
      <c r="E37" s="252"/>
      <c r="F37" s="252"/>
      <c r="G37" s="252"/>
      <c r="H37" s="252">
        <v>13</v>
      </c>
      <c r="I37" s="192" t="s">
        <v>17</v>
      </c>
      <c r="J37" s="192" t="s">
        <v>443</v>
      </c>
      <c r="K37" s="192" t="s">
        <v>24</v>
      </c>
      <c r="L37" s="192" t="s">
        <v>23</v>
      </c>
      <c r="M37" s="192" t="s">
        <v>165</v>
      </c>
      <c r="N37" s="251" t="s">
        <v>422</v>
      </c>
      <c r="O37" s="210" t="s">
        <v>14</v>
      </c>
      <c r="P37" s="288"/>
      <c r="Q37" s="288"/>
      <c r="R37" s="265"/>
      <c r="S37" s="193" t="s">
        <v>80</v>
      </c>
      <c r="T37" s="212">
        <v>1</v>
      </c>
      <c r="U37" s="215">
        <v>6584</v>
      </c>
      <c r="V37" s="278">
        <v>6384</v>
      </c>
      <c r="W37" s="278">
        <v>5985</v>
      </c>
      <c r="X37" s="278">
        <v>5626</v>
      </c>
      <c r="Y37" s="5"/>
      <c r="Z37" s="216">
        <f t="shared" si="0"/>
        <v>0</v>
      </c>
      <c r="AA37" s="255">
        <f t="shared" si="1"/>
        <v>0</v>
      </c>
      <c r="AB37" s="194"/>
      <c r="AC37" s="195"/>
      <c r="AD37" s="196"/>
      <c r="AE37" s="196"/>
      <c r="AF37" s="168"/>
    </row>
    <row r="38" spans="2:32" s="169" customFormat="1">
      <c r="B38" s="239"/>
      <c r="C38" s="167" t="s">
        <v>308</v>
      </c>
      <c r="D38" s="252">
        <v>0</v>
      </c>
      <c r="E38" s="252"/>
      <c r="F38" s="252"/>
      <c r="G38" s="252">
        <v>5</v>
      </c>
      <c r="H38" s="252">
        <v>93</v>
      </c>
      <c r="I38" s="192" t="s">
        <v>17</v>
      </c>
      <c r="J38" s="192" t="s">
        <v>443</v>
      </c>
      <c r="K38" s="192" t="s">
        <v>24</v>
      </c>
      <c r="L38" s="192" t="s">
        <v>23</v>
      </c>
      <c r="M38" s="192" t="s">
        <v>165</v>
      </c>
      <c r="N38" s="251" t="s">
        <v>422</v>
      </c>
      <c r="O38" s="210" t="s">
        <v>38</v>
      </c>
      <c r="P38" s="210"/>
      <c r="Q38" s="210"/>
      <c r="R38" s="265"/>
      <c r="S38" s="193" t="s">
        <v>80</v>
      </c>
      <c r="T38" s="212">
        <v>1</v>
      </c>
      <c r="U38" s="215">
        <v>7574</v>
      </c>
      <c r="V38" s="278">
        <v>7344</v>
      </c>
      <c r="W38" s="278">
        <v>6885</v>
      </c>
      <c r="X38" s="278">
        <v>6472</v>
      </c>
      <c r="Y38" s="5"/>
      <c r="Z38" s="216">
        <f t="shared" si="0"/>
        <v>0</v>
      </c>
      <c r="AA38" s="255">
        <f t="shared" si="1"/>
        <v>0</v>
      </c>
      <c r="AB38" s="194"/>
      <c r="AC38" s="195"/>
      <c r="AD38" s="196"/>
      <c r="AE38" s="196"/>
      <c r="AF38" s="168" t="str">
        <f t="shared" ref="AF38:AF43" si="3">IF(Y38/T38=0,"",IF(MOD(Y38,T38)&gt;0,"ОШИБКА!!! неверная кратность на сорт",""))</f>
        <v/>
      </c>
    </row>
    <row r="39" spans="2:32" s="169" customFormat="1">
      <c r="B39" s="239"/>
      <c r="C39" s="167" t="s">
        <v>309</v>
      </c>
      <c r="D39" s="252">
        <v>8</v>
      </c>
      <c r="E39" s="252"/>
      <c r="F39" s="252"/>
      <c r="G39" s="252">
        <v>0</v>
      </c>
      <c r="H39" s="252">
        <v>137</v>
      </c>
      <c r="I39" s="192" t="s">
        <v>17</v>
      </c>
      <c r="J39" s="192" t="s">
        <v>443</v>
      </c>
      <c r="K39" s="192" t="s">
        <v>24</v>
      </c>
      <c r="L39" s="192" t="s">
        <v>23</v>
      </c>
      <c r="M39" s="192" t="s">
        <v>165</v>
      </c>
      <c r="N39" s="251" t="s">
        <v>422</v>
      </c>
      <c r="O39" s="210" t="s">
        <v>33</v>
      </c>
      <c r="P39" s="210"/>
      <c r="Q39" s="210"/>
      <c r="R39" s="265"/>
      <c r="S39" s="193" t="s">
        <v>80</v>
      </c>
      <c r="T39" s="212">
        <v>1</v>
      </c>
      <c r="U39" s="215">
        <v>11361</v>
      </c>
      <c r="V39" s="278">
        <v>11016</v>
      </c>
      <c r="W39" s="278">
        <v>10328</v>
      </c>
      <c r="X39" s="278">
        <v>9708</v>
      </c>
      <c r="Y39" s="5"/>
      <c r="Z39" s="216">
        <f t="shared" si="0"/>
        <v>0</v>
      </c>
      <c r="AA39" s="255">
        <f t="shared" si="1"/>
        <v>0</v>
      </c>
      <c r="AB39" s="194"/>
      <c r="AC39" s="195"/>
      <c r="AD39" s="196"/>
      <c r="AE39" s="196"/>
      <c r="AF39" s="168" t="str">
        <f t="shared" si="3"/>
        <v/>
      </c>
    </row>
    <row r="40" spans="2:32" s="169" customFormat="1">
      <c r="B40" s="239"/>
      <c r="C40" s="167" t="s">
        <v>310</v>
      </c>
      <c r="D40" s="252"/>
      <c r="E40" s="252"/>
      <c r="F40" s="252"/>
      <c r="G40" s="252"/>
      <c r="H40" s="252">
        <v>13</v>
      </c>
      <c r="I40" s="192" t="s">
        <v>17</v>
      </c>
      <c r="J40" s="192" t="s">
        <v>443</v>
      </c>
      <c r="K40" s="192" t="s">
        <v>24</v>
      </c>
      <c r="L40" s="192" t="s">
        <v>23</v>
      </c>
      <c r="M40" s="192" t="s">
        <v>165</v>
      </c>
      <c r="N40" s="251" t="s">
        <v>422</v>
      </c>
      <c r="O40" s="210" t="s">
        <v>35</v>
      </c>
      <c r="P40" s="288"/>
      <c r="Q40" s="288"/>
      <c r="R40" s="265"/>
      <c r="S40" s="193" t="s">
        <v>80</v>
      </c>
      <c r="T40" s="212">
        <v>1</v>
      </c>
      <c r="U40" s="215">
        <v>19800</v>
      </c>
      <c r="V40" s="278">
        <v>19200</v>
      </c>
      <c r="W40" s="278">
        <v>18000</v>
      </c>
      <c r="X40" s="278">
        <v>16920</v>
      </c>
      <c r="Y40" s="5"/>
      <c r="Z40" s="216">
        <f t="shared" si="0"/>
        <v>0</v>
      </c>
      <c r="AA40" s="255">
        <f t="shared" si="1"/>
        <v>0</v>
      </c>
      <c r="AB40" s="194"/>
      <c r="AC40" s="195"/>
      <c r="AD40" s="196"/>
      <c r="AE40" s="196"/>
      <c r="AF40" s="168" t="str">
        <f t="shared" si="3"/>
        <v/>
      </c>
    </row>
    <row r="41" spans="2:32" s="169" customFormat="1">
      <c r="B41" s="239"/>
      <c r="C41" s="167" t="s">
        <v>316</v>
      </c>
      <c r="D41" s="252"/>
      <c r="E41" s="252"/>
      <c r="F41" s="252"/>
      <c r="G41" s="252"/>
      <c r="H41" s="252">
        <v>3</v>
      </c>
      <c r="I41" s="192" t="s">
        <v>17</v>
      </c>
      <c r="J41" s="192" t="s">
        <v>443</v>
      </c>
      <c r="K41" s="192" t="s">
        <v>24</v>
      </c>
      <c r="L41" s="192" t="s">
        <v>23</v>
      </c>
      <c r="M41" s="192" t="s">
        <v>315</v>
      </c>
      <c r="N41" s="251" t="s">
        <v>422</v>
      </c>
      <c r="O41" s="210" t="s">
        <v>14</v>
      </c>
      <c r="P41" s="288"/>
      <c r="Q41" s="288"/>
      <c r="R41" s="265"/>
      <c r="S41" s="193" t="s">
        <v>80</v>
      </c>
      <c r="T41" s="212">
        <v>1</v>
      </c>
      <c r="U41" s="215">
        <v>4446</v>
      </c>
      <c r="V41" s="278">
        <v>4311</v>
      </c>
      <c r="W41" s="278">
        <v>4041</v>
      </c>
      <c r="X41" s="278">
        <v>3799</v>
      </c>
      <c r="Y41" s="5"/>
      <c r="Z41" s="216">
        <f t="shared" si="0"/>
        <v>0</v>
      </c>
      <c r="AA41" s="255">
        <f t="shared" si="1"/>
        <v>0</v>
      </c>
      <c r="AB41" s="194"/>
      <c r="AC41" s="195"/>
      <c r="AD41" s="196"/>
      <c r="AE41" s="196"/>
      <c r="AF41" s="168" t="str">
        <f t="shared" si="3"/>
        <v/>
      </c>
    </row>
    <row r="42" spans="2:32" s="169" customFormat="1">
      <c r="B42" s="239"/>
      <c r="C42" s="167" t="s">
        <v>317</v>
      </c>
      <c r="D42" s="252"/>
      <c r="E42" s="252"/>
      <c r="F42" s="252"/>
      <c r="G42" s="252"/>
      <c r="H42" s="252">
        <v>2</v>
      </c>
      <c r="I42" s="192" t="s">
        <v>17</v>
      </c>
      <c r="J42" s="192" t="s">
        <v>443</v>
      </c>
      <c r="K42" s="192" t="s">
        <v>24</v>
      </c>
      <c r="L42" s="192" t="s">
        <v>23</v>
      </c>
      <c r="M42" s="192" t="s">
        <v>315</v>
      </c>
      <c r="N42" s="251" t="s">
        <v>422</v>
      </c>
      <c r="O42" s="210" t="s">
        <v>38</v>
      </c>
      <c r="P42" s="288"/>
      <c r="Q42" s="288"/>
      <c r="R42" s="265"/>
      <c r="S42" s="193" t="s">
        <v>80</v>
      </c>
      <c r="T42" s="212">
        <v>1</v>
      </c>
      <c r="U42" s="215">
        <v>4950</v>
      </c>
      <c r="V42" s="278">
        <v>4800</v>
      </c>
      <c r="W42" s="278">
        <v>4500</v>
      </c>
      <c r="X42" s="278">
        <v>4230</v>
      </c>
      <c r="Y42" s="5"/>
      <c r="Z42" s="216">
        <f t="shared" si="0"/>
        <v>0</v>
      </c>
      <c r="AA42" s="255">
        <f t="shared" si="1"/>
        <v>0</v>
      </c>
      <c r="AB42" s="194"/>
      <c r="AC42" s="195"/>
      <c r="AD42" s="196"/>
      <c r="AE42" s="196"/>
      <c r="AF42" s="168" t="str">
        <f t="shared" si="3"/>
        <v/>
      </c>
    </row>
    <row r="43" spans="2:32" s="169" customFormat="1">
      <c r="B43" s="239"/>
      <c r="C43" s="167" t="s">
        <v>318</v>
      </c>
      <c r="D43" s="252"/>
      <c r="E43" s="252"/>
      <c r="F43" s="252"/>
      <c r="G43" s="252"/>
      <c r="H43" s="252">
        <v>9</v>
      </c>
      <c r="I43" s="192" t="s">
        <v>17</v>
      </c>
      <c r="J43" s="192" t="s">
        <v>443</v>
      </c>
      <c r="K43" s="192" t="s">
        <v>24</v>
      </c>
      <c r="L43" s="192" t="s">
        <v>23</v>
      </c>
      <c r="M43" s="192" t="s">
        <v>315</v>
      </c>
      <c r="N43" s="251" t="s">
        <v>422</v>
      </c>
      <c r="O43" s="210" t="s">
        <v>33</v>
      </c>
      <c r="P43" s="288"/>
      <c r="Q43" s="288"/>
      <c r="R43" s="265"/>
      <c r="S43" s="193" t="s">
        <v>80</v>
      </c>
      <c r="T43" s="212">
        <v>1</v>
      </c>
      <c r="U43" s="215">
        <v>5940</v>
      </c>
      <c r="V43" s="278">
        <v>5760</v>
      </c>
      <c r="W43" s="278">
        <v>5400</v>
      </c>
      <c r="X43" s="278">
        <v>5076</v>
      </c>
      <c r="Y43" s="5"/>
      <c r="Z43" s="216">
        <f t="shared" si="0"/>
        <v>0</v>
      </c>
      <c r="AA43" s="255">
        <f t="shared" si="1"/>
        <v>0</v>
      </c>
      <c r="AB43" s="194"/>
      <c r="AC43" s="195"/>
      <c r="AD43" s="196"/>
      <c r="AE43" s="196"/>
      <c r="AF43" s="168" t="str">
        <f t="shared" si="3"/>
        <v/>
      </c>
    </row>
    <row r="44" spans="2:32" s="169" customFormat="1">
      <c r="B44" s="239"/>
      <c r="C44" s="167" t="s">
        <v>449</v>
      </c>
      <c r="D44" s="252"/>
      <c r="E44" s="252"/>
      <c r="F44" s="252"/>
      <c r="G44" s="252"/>
      <c r="H44" s="252">
        <v>4</v>
      </c>
      <c r="I44" s="192" t="s">
        <v>17</v>
      </c>
      <c r="J44" s="192" t="s">
        <v>443</v>
      </c>
      <c r="K44" s="192" t="s">
        <v>24</v>
      </c>
      <c r="L44" s="192" t="s">
        <v>23</v>
      </c>
      <c r="M44" s="192" t="s">
        <v>315</v>
      </c>
      <c r="N44" s="251" t="s">
        <v>422</v>
      </c>
      <c r="O44" s="210" t="s">
        <v>35</v>
      </c>
      <c r="P44" s="288"/>
      <c r="Q44" s="288"/>
      <c r="R44" s="265"/>
      <c r="S44" s="193" t="s">
        <v>80</v>
      </c>
      <c r="T44" s="212">
        <v>1</v>
      </c>
      <c r="U44" s="215">
        <v>6765</v>
      </c>
      <c r="V44" s="278">
        <v>6560</v>
      </c>
      <c r="W44" s="278">
        <v>6150</v>
      </c>
      <c r="X44" s="278">
        <v>5781</v>
      </c>
      <c r="Y44" s="5"/>
      <c r="Z44" s="216">
        <f t="shared" si="0"/>
        <v>0</v>
      </c>
      <c r="AA44" s="255">
        <f t="shared" si="1"/>
        <v>0</v>
      </c>
      <c r="AB44" s="194"/>
      <c r="AC44" s="195"/>
      <c r="AD44" s="196"/>
      <c r="AE44" s="196"/>
      <c r="AF44" s="168"/>
    </row>
    <row r="45" spans="2:32" s="169" customFormat="1">
      <c r="B45" s="239"/>
      <c r="C45" s="167" t="s">
        <v>440</v>
      </c>
      <c r="D45" s="252">
        <v>1</v>
      </c>
      <c r="E45" s="252"/>
      <c r="F45" s="252"/>
      <c r="G45" s="252">
        <v>0</v>
      </c>
      <c r="H45" s="252">
        <v>129</v>
      </c>
      <c r="I45" s="192" t="s">
        <v>17</v>
      </c>
      <c r="J45" s="192" t="s">
        <v>443</v>
      </c>
      <c r="K45" s="192" t="s">
        <v>24</v>
      </c>
      <c r="L45" s="192" t="s">
        <v>23</v>
      </c>
      <c r="M45" s="192" t="s">
        <v>41</v>
      </c>
      <c r="N45" s="251" t="s">
        <v>422</v>
      </c>
      <c r="O45" s="210" t="s">
        <v>38</v>
      </c>
      <c r="P45" s="210"/>
      <c r="Q45" s="210"/>
      <c r="R45" s="285" t="s">
        <v>438</v>
      </c>
      <c r="S45" s="193" t="s">
        <v>80</v>
      </c>
      <c r="T45" s="212">
        <v>1</v>
      </c>
      <c r="U45" s="215">
        <v>10049</v>
      </c>
      <c r="V45" s="278">
        <v>9744</v>
      </c>
      <c r="W45" s="278">
        <v>9135</v>
      </c>
      <c r="X45" s="278">
        <v>8587</v>
      </c>
      <c r="Y45" s="5"/>
      <c r="Z45" s="216">
        <f t="shared" si="0"/>
        <v>0</v>
      </c>
      <c r="AA45" s="255">
        <f t="shared" si="1"/>
        <v>0</v>
      </c>
      <c r="AB45" s="194"/>
      <c r="AC45" s="195"/>
      <c r="AD45" s="196"/>
      <c r="AE45" s="196"/>
      <c r="AF45" s="168" t="str">
        <f>IF(Y45/T45=0,"",IF(MOD(Y45,T45)&gt;0,"ОШИБКА!!! неверная кратность на сорт",""))</f>
        <v/>
      </c>
    </row>
    <row r="46" spans="2:32" s="169" customFormat="1">
      <c r="B46" s="239"/>
      <c r="C46" s="167" t="s">
        <v>522</v>
      </c>
      <c r="D46" s="252"/>
      <c r="E46" s="252"/>
      <c r="F46" s="252"/>
      <c r="G46" s="252"/>
      <c r="H46" s="252">
        <v>173</v>
      </c>
      <c r="I46" s="192" t="s">
        <v>17</v>
      </c>
      <c r="J46" s="192" t="s">
        <v>443</v>
      </c>
      <c r="K46" s="192" t="s">
        <v>24</v>
      </c>
      <c r="L46" s="192" t="s">
        <v>23</v>
      </c>
      <c r="M46" s="192" t="s">
        <v>41</v>
      </c>
      <c r="N46" s="251" t="s">
        <v>422</v>
      </c>
      <c r="O46" s="210" t="s">
        <v>33</v>
      </c>
      <c r="P46" s="210"/>
      <c r="Q46" s="210"/>
      <c r="R46" s="285" t="s">
        <v>438</v>
      </c>
      <c r="S46" s="193" t="s">
        <v>80</v>
      </c>
      <c r="T46" s="212">
        <v>1</v>
      </c>
      <c r="U46" s="215">
        <v>10590</v>
      </c>
      <c r="V46" s="278">
        <v>10269</v>
      </c>
      <c r="W46" s="278">
        <v>9627</v>
      </c>
      <c r="X46" s="278">
        <v>9050</v>
      </c>
      <c r="Y46" s="5"/>
      <c r="Z46" s="216">
        <f t="shared" si="0"/>
        <v>0</v>
      </c>
      <c r="AA46" s="255">
        <f t="shared" si="1"/>
        <v>0</v>
      </c>
      <c r="AB46" s="194"/>
      <c r="AC46" s="195"/>
      <c r="AD46" s="196"/>
      <c r="AE46" s="196"/>
      <c r="AF46" s="168" t="str">
        <f>IF(Y46/T46=0,"",IF(MOD(Y46,T46)&gt;0,"ОШИБКА!!! неверная кратность на сорт",""))</f>
        <v/>
      </c>
    </row>
    <row r="47" spans="2:32" s="169" customFormat="1">
      <c r="B47" s="239"/>
      <c r="C47" s="167" t="s">
        <v>523</v>
      </c>
      <c r="D47" s="252"/>
      <c r="E47" s="252"/>
      <c r="F47" s="252"/>
      <c r="G47" s="252"/>
      <c r="H47" s="252">
        <v>25</v>
      </c>
      <c r="I47" s="192" t="s">
        <v>17</v>
      </c>
      <c r="J47" s="192" t="s">
        <v>443</v>
      </c>
      <c r="K47" s="192" t="s">
        <v>24</v>
      </c>
      <c r="L47" s="192" t="s">
        <v>23</v>
      </c>
      <c r="M47" s="192" t="s">
        <v>41</v>
      </c>
      <c r="N47" s="251" t="s">
        <v>422</v>
      </c>
      <c r="O47" s="210" t="s">
        <v>35</v>
      </c>
      <c r="P47" s="210"/>
      <c r="Q47" s="210"/>
      <c r="R47" s="285" t="s">
        <v>438</v>
      </c>
      <c r="S47" s="193" t="s">
        <v>80</v>
      </c>
      <c r="T47" s="212">
        <v>1</v>
      </c>
      <c r="U47" s="215">
        <v>11234</v>
      </c>
      <c r="V47" s="278">
        <v>10893</v>
      </c>
      <c r="W47" s="278">
        <v>10212</v>
      </c>
      <c r="X47" s="278">
        <v>9600</v>
      </c>
      <c r="Y47" s="5"/>
      <c r="Z47" s="216">
        <f t="shared" si="0"/>
        <v>0</v>
      </c>
      <c r="AA47" s="255">
        <f t="shared" si="1"/>
        <v>0</v>
      </c>
      <c r="AB47" s="194"/>
      <c r="AC47" s="195"/>
      <c r="AD47" s="196"/>
      <c r="AE47" s="196"/>
      <c r="AF47" s="168" t="str">
        <f>IF(Y47/T47=0,"",IF(MOD(Y47,T47)&gt;0,"ОШИБКА!!! неверная кратность на сорт",""))</f>
        <v/>
      </c>
    </row>
    <row r="48" spans="2:32" s="169" customFormat="1">
      <c r="B48" s="239"/>
      <c r="C48" s="167" t="s">
        <v>450</v>
      </c>
      <c r="D48" s="252"/>
      <c r="E48" s="252"/>
      <c r="F48" s="252"/>
      <c r="G48" s="252"/>
      <c r="H48" s="252">
        <v>1</v>
      </c>
      <c r="I48" s="192" t="s">
        <v>17</v>
      </c>
      <c r="J48" s="192" t="s">
        <v>443</v>
      </c>
      <c r="K48" s="192" t="s">
        <v>43</v>
      </c>
      <c r="L48" s="192" t="s">
        <v>42</v>
      </c>
      <c r="M48" s="192" t="s">
        <v>44</v>
      </c>
      <c r="N48" s="251" t="s">
        <v>422</v>
      </c>
      <c r="O48" s="210" t="s">
        <v>14</v>
      </c>
      <c r="P48" s="210"/>
      <c r="Q48" s="210"/>
      <c r="R48" s="285"/>
      <c r="S48" s="193" t="s">
        <v>80</v>
      </c>
      <c r="T48" s="212">
        <v>1</v>
      </c>
      <c r="U48" s="215">
        <v>5693</v>
      </c>
      <c r="V48" s="278">
        <v>5520</v>
      </c>
      <c r="W48" s="278">
        <v>5175</v>
      </c>
      <c r="X48" s="278">
        <v>4865</v>
      </c>
      <c r="Y48" s="5"/>
      <c r="Z48" s="216">
        <f t="shared" si="0"/>
        <v>0</v>
      </c>
      <c r="AA48" s="255">
        <f t="shared" si="1"/>
        <v>0</v>
      </c>
      <c r="AB48" s="194"/>
      <c r="AC48" s="195"/>
      <c r="AD48" s="196"/>
      <c r="AE48" s="196"/>
      <c r="AF48" s="168"/>
    </row>
    <row r="49" spans="2:32" s="169" customFormat="1">
      <c r="B49" s="239"/>
      <c r="C49" s="167" t="s">
        <v>319</v>
      </c>
      <c r="D49" s="252"/>
      <c r="E49" s="252"/>
      <c r="F49" s="252"/>
      <c r="G49" s="252"/>
      <c r="H49" s="252"/>
      <c r="I49" s="192" t="s">
        <v>17</v>
      </c>
      <c r="J49" s="287" t="s">
        <v>443</v>
      </c>
      <c r="K49" s="287" t="s">
        <v>43</v>
      </c>
      <c r="L49" s="287" t="s">
        <v>42</v>
      </c>
      <c r="M49" s="287" t="s">
        <v>44</v>
      </c>
      <c r="N49" s="291" t="s">
        <v>422</v>
      </c>
      <c r="O49" s="288" t="s">
        <v>38</v>
      </c>
      <c r="P49" s="288"/>
      <c r="Q49" s="288"/>
      <c r="R49" s="265"/>
      <c r="S49" s="193" t="s">
        <v>80</v>
      </c>
      <c r="T49" s="212">
        <v>1</v>
      </c>
      <c r="U49" s="215">
        <v>6534</v>
      </c>
      <c r="V49" s="278">
        <v>6336</v>
      </c>
      <c r="W49" s="278">
        <v>5940</v>
      </c>
      <c r="X49" s="278">
        <v>5584</v>
      </c>
      <c r="Y49" s="5"/>
      <c r="Z49" s="216">
        <f t="shared" si="0"/>
        <v>0</v>
      </c>
      <c r="AA49" s="255">
        <f t="shared" si="1"/>
        <v>0</v>
      </c>
      <c r="AB49" s="194" t="s">
        <v>305</v>
      </c>
      <c r="AC49" s="195"/>
      <c r="AD49" s="196"/>
      <c r="AE49" s="196"/>
      <c r="AF49" s="168" t="str">
        <f t="shared" ref="AF49:AF54" si="4">IF(Y49/T49=0,"",IF(MOD(Y49,T49)&gt;0,"ОШИБКА!!! неверная кратность на сорт",""))</f>
        <v/>
      </c>
    </row>
    <row r="50" spans="2:32" s="169" customFormat="1">
      <c r="B50" s="239"/>
      <c r="C50" s="167" t="s">
        <v>348</v>
      </c>
      <c r="D50" s="252"/>
      <c r="E50" s="252"/>
      <c r="F50" s="252"/>
      <c r="G50" s="252"/>
      <c r="H50" s="252"/>
      <c r="I50" s="192" t="s">
        <v>17</v>
      </c>
      <c r="J50" s="287" t="s">
        <v>443</v>
      </c>
      <c r="K50" s="287" t="s">
        <v>1</v>
      </c>
      <c r="L50" s="287" t="s">
        <v>2</v>
      </c>
      <c r="M50" s="287" t="s">
        <v>311</v>
      </c>
      <c r="N50" s="291" t="s">
        <v>422</v>
      </c>
      <c r="O50" s="288" t="s">
        <v>35</v>
      </c>
      <c r="P50" s="288" t="s">
        <v>7</v>
      </c>
      <c r="Q50" s="288"/>
      <c r="R50" s="265"/>
      <c r="S50" s="193" t="s">
        <v>80</v>
      </c>
      <c r="T50" s="212">
        <v>1</v>
      </c>
      <c r="U50" s="215">
        <v>5940</v>
      </c>
      <c r="V50" s="278">
        <v>5760</v>
      </c>
      <c r="W50" s="278">
        <v>5400</v>
      </c>
      <c r="X50" s="278">
        <v>5076</v>
      </c>
      <c r="Y50" s="5"/>
      <c r="Z50" s="216">
        <f t="shared" si="0"/>
        <v>0</v>
      </c>
      <c r="AA50" s="255">
        <f t="shared" si="1"/>
        <v>0</v>
      </c>
      <c r="AB50" s="194" t="s">
        <v>305</v>
      </c>
      <c r="AC50" s="195"/>
      <c r="AD50" s="196"/>
      <c r="AE50" s="196"/>
      <c r="AF50" s="168" t="str">
        <f t="shared" si="4"/>
        <v/>
      </c>
    </row>
    <row r="51" spans="2:32" s="169" customFormat="1">
      <c r="B51" s="239"/>
      <c r="C51" s="167" t="s">
        <v>349</v>
      </c>
      <c r="D51" s="252">
        <v>1</v>
      </c>
      <c r="E51" s="252"/>
      <c r="F51" s="252"/>
      <c r="G51" s="252">
        <v>0</v>
      </c>
      <c r="H51" s="252"/>
      <c r="I51" s="192" t="s">
        <v>17</v>
      </c>
      <c r="J51" s="192" t="s">
        <v>443</v>
      </c>
      <c r="K51" s="192" t="s">
        <v>1</v>
      </c>
      <c r="L51" s="192" t="s">
        <v>2</v>
      </c>
      <c r="M51" s="192" t="s">
        <v>311</v>
      </c>
      <c r="N51" s="251" t="s">
        <v>422</v>
      </c>
      <c r="O51" s="210" t="s">
        <v>7</v>
      </c>
      <c r="P51" s="210" t="s">
        <v>410</v>
      </c>
      <c r="Q51" s="210"/>
      <c r="R51" s="265"/>
      <c r="S51" s="193" t="s">
        <v>80</v>
      </c>
      <c r="T51" s="212">
        <v>1</v>
      </c>
      <c r="U51" s="215">
        <v>6930</v>
      </c>
      <c r="V51" s="278">
        <v>6720</v>
      </c>
      <c r="W51" s="278">
        <v>6300</v>
      </c>
      <c r="X51" s="278">
        <v>5922</v>
      </c>
      <c r="Y51" s="5"/>
      <c r="Z51" s="216">
        <f t="shared" si="0"/>
        <v>0</v>
      </c>
      <c r="AA51" s="255">
        <f t="shared" si="1"/>
        <v>0</v>
      </c>
      <c r="AB51" s="194"/>
      <c r="AC51" s="195"/>
      <c r="AD51" s="196"/>
      <c r="AE51" s="196"/>
      <c r="AF51" s="168" t="str">
        <f t="shared" si="4"/>
        <v/>
      </c>
    </row>
    <row r="52" spans="2:32" s="169" customFormat="1">
      <c r="B52" s="239"/>
      <c r="C52" s="167" t="s">
        <v>377</v>
      </c>
      <c r="D52" s="252"/>
      <c r="E52" s="252"/>
      <c r="F52" s="252"/>
      <c r="G52" s="252"/>
      <c r="H52" s="252"/>
      <c r="I52" s="192" t="s">
        <v>17</v>
      </c>
      <c r="J52" s="287" t="s">
        <v>443</v>
      </c>
      <c r="K52" s="287" t="s">
        <v>47</v>
      </c>
      <c r="L52" s="287" t="s">
        <v>46</v>
      </c>
      <c r="M52" s="287" t="s">
        <v>376</v>
      </c>
      <c r="N52" s="291" t="s">
        <v>422</v>
      </c>
      <c r="O52" s="288" t="s">
        <v>38</v>
      </c>
      <c r="P52" s="288"/>
      <c r="Q52" s="288"/>
      <c r="R52" s="265"/>
      <c r="S52" s="193" t="s">
        <v>80</v>
      </c>
      <c r="T52" s="212">
        <v>1</v>
      </c>
      <c r="U52" s="215">
        <v>3512</v>
      </c>
      <c r="V52" s="278">
        <v>3405</v>
      </c>
      <c r="W52" s="278">
        <v>3192</v>
      </c>
      <c r="X52" s="278">
        <v>3001</v>
      </c>
      <c r="Y52" s="5"/>
      <c r="Z52" s="216">
        <f t="shared" si="0"/>
        <v>0</v>
      </c>
      <c r="AA52" s="255">
        <f t="shared" si="1"/>
        <v>0</v>
      </c>
      <c r="AB52" s="194" t="s">
        <v>305</v>
      </c>
      <c r="AC52" s="195"/>
      <c r="AD52" s="196"/>
      <c r="AE52" s="196"/>
      <c r="AF52" s="168" t="str">
        <f t="shared" si="4"/>
        <v/>
      </c>
    </row>
    <row r="53" spans="2:32" s="169" customFormat="1">
      <c r="B53" s="239"/>
      <c r="C53" s="167" t="s">
        <v>378</v>
      </c>
      <c r="D53" s="252"/>
      <c r="E53" s="252"/>
      <c r="F53" s="252"/>
      <c r="G53" s="252"/>
      <c r="H53" s="252"/>
      <c r="I53" s="192" t="s">
        <v>17</v>
      </c>
      <c r="J53" s="287" t="s">
        <v>443</v>
      </c>
      <c r="K53" s="287" t="s">
        <v>47</v>
      </c>
      <c r="L53" s="287" t="s">
        <v>46</v>
      </c>
      <c r="M53" s="287" t="s">
        <v>376</v>
      </c>
      <c r="N53" s="291" t="s">
        <v>422</v>
      </c>
      <c r="O53" s="288" t="s">
        <v>33</v>
      </c>
      <c r="P53" s="288"/>
      <c r="Q53" s="288"/>
      <c r="R53" s="265"/>
      <c r="S53" s="193" t="s">
        <v>80</v>
      </c>
      <c r="T53" s="212">
        <v>1</v>
      </c>
      <c r="U53" s="215">
        <v>4096</v>
      </c>
      <c r="V53" s="278">
        <v>3972</v>
      </c>
      <c r="W53" s="278">
        <v>3723</v>
      </c>
      <c r="X53" s="278">
        <v>3500</v>
      </c>
      <c r="Y53" s="5"/>
      <c r="Z53" s="216">
        <f t="shared" si="0"/>
        <v>0</v>
      </c>
      <c r="AA53" s="255">
        <f t="shared" si="1"/>
        <v>0</v>
      </c>
      <c r="AB53" s="194" t="s">
        <v>305</v>
      </c>
      <c r="AC53" s="195"/>
      <c r="AD53" s="196"/>
      <c r="AE53" s="196"/>
      <c r="AF53" s="168" t="str">
        <f t="shared" si="4"/>
        <v/>
      </c>
    </row>
    <row r="54" spans="2:32" s="169" customFormat="1">
      <c r="B54" s="239"/>
      <c r="C54" s="167" t="s">
        <v>379</v>
      </c>
      <c r="D54" s="252"/>
      <c r="E54" s="252"/>
      <c r="F54" s="252"/>
      <c r="G54" s="252"/>
      <c r="H54" s="252"/>
      <c r="I54" s="192" t="s">
        <v>17</v>
      </c>
      <c r="J54" s="287" t="s">
        <v>443</v>
      </c>
      <c r="K54" s="287" t="s">
        <v>47</v>
      </c>
      <c r="L54" s="287" t="s">
        <v>46</v>
      </c>
      <c r="M54" s="287" t="s">
        <v>376</v>
      </c>
      <c r="N54" s="291" t="s">
        <v>422</v>
      </c>
      <c r="O54" s="288" t="s">
        <v>35</v>
      </c>
      <c r="P54" s="288"/>
      <c r="Q54" s="288"/>
      <c r="R54" s="265"/>
      <c r="S54" s="193" t="s">
        <v>80</v>
      </c>
      <c r="T54" s="212">
        <v>1</v>
      </c>
      <c r="U54" s="215">
        <v>5267</v>
      </c>
      <c r="V54" s="278">
        <v>5108</v>
      </c>
      <c r="W54" s="278">
        <v>4788</v>
      </c>
      <c r="X54" s="278">
        <v>4501</v>
      </c>
      <c r="Y54" s="5"/>
      <c r="Z54" s="216">
        <f t="shared" si="0"/>
        <v>0</v>
      </c>
      <c r="AA54" s="255">
        <f t="shared" si="1"/>
        <v>0</v>
      </c>
      <c r="AB54" s="194" t="s">
        <v>305</v>
      </c>
      <c r="AC54" s="195"/>
      <c r="AD54" s="196"/>
      <c r="AE54" s="196"/>
      <c r="AF54" s="168" t="str">
        <f t="shared" si="4"/>
        <v/>
      </c>
    </row>
    <row r="55" spans="2:32" s="169" customFormat="1">
      <c r="B55" s="239"/>
      <c r="C55" s="167" t="s">
        <v>464</v>
      </c>
      <c r="D55" s="252"/>
      <c r="E55" s="252"/>
      <c r="F55" s="252"/>
      <c r="G55" s="252"/>
      <c r="H55" s="252">
        <v>2</v>
      </c>
      <c r="I55" s="192" t="s">
        <v>17</v>
      </c>
      <c r="J55" s="192" t="s">
        <v>443</v>
      </c>
      <c r="K55" s="192" t="s">
        <v>3</v>
      </c>
      <c r="L55" s="192" t="s">
        <v>188</v>
      </c>
      <c r="M55" s="192" t="s">
        <v>4</v>
      </c>
      <c r="N55" s="251" t="s">
        <v>422</v>
      </c>
      <c r="O55" s="210" t="s">
        <v>468</v>
      </c>
      <c r="P55" s="288"/>
      <c r="Q55" s="288"/>
      <c r="R55" s="265"/>
      <c r="S55" s="193" t="s">
        <v>80</v>
      </c>
      <c r="T55" s="212">
        <v>1</v>
      </c>
      <c r="U55" s="215">
        <v>2970</v>
      </c>
      <c r="V55" s="278">
        <v>2880</v>
      </c>
      <c r="W55" s="278">
        <v>2700</v>
      </c>
      <c r="X55" s="278">
        <v>2538</v>
      </c>
      <c r="Y55" s="5"/>
      <c r="Z55" s="216">
        <f t="shared" si="0"/>
        <v>0</v>
      </c>
      <c r="AA55" s="255">
        <f t="shared" si="1"/>
        <v>0</v>
      </c>
      <c r="AB55" s="194"/>
      <c r="AC55" s="195"/>
      <c r="AD55" s="196"/>
      <c r="AE55" s="196"/>
      <c r="AF55" s="168"/>
    </row>
    <row r="56" spans="2:32" s="169" customFormat="1">
      <c r="B56" s="239"/>
      <c r="C56" s="167" t="s">
        <v>465</v>
      </c>
      <c r="D56" s="252"/>
      <c r="E56" s="252"/>
      <c r="F56" s="252"/>
      <c r="G56" s="252"/>
      <c r="H56" s="252">
        <v>5</v>
      </c>
      <c r="I56" s="192" t="s">
        <v>17</v>
      </c>
      <c r="J56" s="192" t="s">
        <v>443</v>
      </c>
      <c r="K56" s="192" t="s">
        <v>3</v>
      </c>
      <c r="L56" s="192" t="s">
        <v>188</v>
      </c>
      <c r="M56" s="192" t="s">
        <v>4</v>
      </c>
      <c r="N56" s="251" t="s">
        <v>422</v>
      </c>
      <c r="O56" s="210" t="s">
        <v>469</v>
      </c>
      <c r="P56" s="288"/>
      <c r="Q56" s="288"/>
      <c r="R56" s="265"/>
      <c r="S56" s="193" t="s">
        <v>80</v>
      </c>
      <c r="T56" s="212">
        <v>1</v>
      </c>
      <c r="U56" s="215">
        <v>3630</v>
      </c>
      <c r="V56" s="278">
        <v>3520</v>
      </c>
      <c r="W56" s="278">
        <v>3300</v>
      </c>
      <c r="X56" s="278">
        <v>3102</v>
      </c>
      <c r="Y56" s="5"/>
      <c r="Z56" s="216">
        <f t="shared" si="0"/>
        <v>0</v>
      </c>
      <c r="AA56" s="255">
        <f t="shared" si="1"/>
        <v>0</v>
      </c>
      <c r="AB56" s="194"/>
      <c r="AC56" s="195"/>
      <c r="AD56" s="196"/>
      <c r="AE56" s="196"/>
      <c r="AF56" s="168"/>
    </row>
    <row r="57" spans="2:32" s="169" customFormat="1">
      <c r="B57" s="239"/>
      <c r="C57" s="167" t="s">
        <v>466</v>
      </c>
      <c r="D57" s="252"/>
      <c r="E57" s="252"/>
      <c r="F57" s="252"/>
      <c r="G57" s="252"/>
      <c r="H57" s="252">
        <v>11</v>
      </c>
      <c r="I57" s="192" t="s">
        <v>17</v>
      </c>
      <c r="J57" s="192" t="s">
        <v>443</v>
      </c>
      <c r="K57" s="192" t="s">
        <v>3</v>
      </c>
      <c r="L57" s="192" t="s">
        <v>188</v>
      </c>
      <c r="M57" s="192" t="s">
        <v>4</v>
      </c>
      <c r="N57" s="251" t="s">
        <v>422</v>
      </c>
      <c r="O57" s="210" t="s">
        <v>470</v>
      </c>
      <c r="P57" s="288"/>
      <c r="Q57" s="288"/>
      <c r="R57" s="265"/>
      <c r="S57" s="193" t="s">
        <v>80</v>
      </c>
      <c r="T57" s="212">
        <v>1</v>
      </c>
      <c r="U57" s="215">
        <v>4290</v>
      </c>
      <c r="V57" s="278">
        <v>4160</v>
      </c>
      <c r="W57" s="278">
        <v>3900</v>
      </c>
      <c r="X57" s="278">
        <v>3666</v>
      </c>
      <c r="Y57" s="5"/>
      <c r="Z57" s="216">
        <f t="shared" si="0"/>
        <v>0</v>
      </c>
      <c r="AA57" s="255">
        <f t="shared" si="1"/>
        <v>0</v>
      </c>
      <c r="AB57" s="194"/>
      <c r="AC57" s="195"/>
      <c r="AD57" s="196"/>
      <c r="AE57" s="196"/>
      <c r="AF57" s="168"/>
    </row>
    <row r="58" spans="2:32" s="169" customFormat="1">
      <c r="B58" s="239"/>
      <c r="C58" s="167" t="s">
        <v>467</v>
      </c>
      <c r="D58" s="252"/>
      <c r="E58" s="252"/>
      <c r="F58" s="252"/>
      <c r="G58" s="252"/>
      <c r="H58" s="252">
        <v>10</v>
      </c>
      <c r="I58" s="192" t="s">
        <v>17</v>
      </c>
      <c r="J58" s="192" t="s">
        <v>443</v>
      </c>
      <c r="K58" s="192" t="s">
        <v>3</v>
      </c>
      <c r="L58" s="192" t="s">
        <v>188</v>
      </c>
      <c r="M58" s="192" t="s">
        <v>4</v>
      </c>
      <c r="N58" s="251" t="s">
        <v>422</v>
      </c>
      <c r="O58" s="210" t="s">
        <v>471</v>
      </c>
      <c r="P58" s="288"/>
      <c r="Q58" s="288"/>
      <c r="R58" s="265"/>
      <c r="S58" s="193" t="s">
        <v>80</v>
      </c>
      <c r="T58" s="212">
        <v>1</v>
      </c>
      <c r="U58" s="215">
        <v>4950</v>
      </c>
      <c r="V58" s="278">
        <v>4800</v>
      </c>
      <c r="W58" s="278">
        <v>4500</v>
      </c>
      <c r="X58" s="278">
        <v>4230</v>
      </c>
      <c r="Y58" s="5"/>
      <c r="Z58" s="216">
        <f t="shared" si="0"/>
        <v>0</v>
      </c>
      <c r="AA58" s="255">
        <f t="shared" si="1"/>
        <v>0</v>
      </c>
      <c r="AB58" s="194"/>
      <c r="AC58" s="195"/>
      <c r="AD58" s="196"/>
      <c r="AE58" s="196"/>
      <c r="AF58" s="168"/>
    </row>
    <row r="59" spans="2:32" s="169" customFormat="1">
      <c r="B59" s="239"/>
      <c r="C59" s="167" t="s">
        <v>375</v>
      </c>
      <c r="D59" s="252"/>
      <c r="E59" s="252"/>
      <c r="F59" s="252"/>
      <c r="G59" s="252"/>
      <c r="H59" s="252"/>
      <c r="I59" s="192" t="s">
        <v>17</v>
      </c>
      <c r="J59" s="287" t="s">
        <v>443</v>
      </c>
      <c r="K59" s="287" t="s">
        <v>3</v>
      </c>
      <c r="L59" s="287" t="s">
        <v>188</v>
      </c>
      <c r="M59" s="287" t="s">
        <v>4</v>
      </c>
      <c r="N59" s="291" t="s">
        <v>422</v>
      </c>
      <c r="O59" s="288" t="s">
        <v>33</v>
      </c>
      <c r="P59" s="288" t="s">
        <v>35</v>
      </c>
      <c r="Q59" s="288"/>
      <c r="R59" s="265"/>
      <c r="S59" s="193" t="s">
        <v>80</v>
      </c>
      <c r="T59" s="212">
        <v>1</v>
      </c>
      <c r="U59" s="215">
        <v>5940</v>
      </c>
      <c r="V59" s="278">
        <v>5760</v>
      </c>
      <c r="W59" s="278">
        <v>5400</v>
      </c>
      <c r="X59" s="278">
        <v>5076</v>
      </c>
      <c r="Y59" s="5"/>
      <c r="Z59" s="216">
        <f t="shared" si="0"/>
        <v>0</v>
      </c>
      <c r="AA59" s="255">
        <f t="shared" si="1"/>
        <v>0</v>
      </c>
      <c r="AB59" s="194" t="s">
        <v>305</v>
      </c>
      <c r="AC59" s="195"/>
      <c r="AD59" s="196"/>
      <c r="AE59" s="196"/>
      <c r="AF59" s="168" t="str">
        <f t="shared" ref="AF59:AF65" si="5">IF(Y59/T59=0,"",IF(MOD(Y59,T59)&gt;0,"ОШИБКА!!! неверная кратность на сорт",""))</f>
        <v/>
      </c>
    </row>
    <row r="60" spans="2:32" s="169" customFormat="1">
      <c r="B60" s="239"/>
      <c r="C60" s="167" t="s">
        <v>345</v>
      </c>
      <c r="D60" s="252"/>
      <c r="E60" s="252"/>
      <c r="F60" s="252"/>
      <c r="G60" s="252"/>
      <c r="H60" s="252"/>
      <c r="I60" s="192" t="s">
        <v>17</v>
      </c>
      <c r="J60" s="287" t="s">
        <v>443</v>
      </c>
      <c r="K60" s="287" t="s">
        <v>342</v>
      </c>
      <c r="L60" s="287" t="s">
        <v>343</v>
      </c>
      <c r="M60" s="287" t="s">
        <v>344</v>
      </c>
      <c r="N60" s="291" t="s">
        <v>422</v>
      </c>
      <c r="O60" s="288" t="s">
        <v>14</v>
      </c>
      <c r="P60" s="288"/>
      <c r="Q60" s="288"/>
      <c r="R60" s="265"/>
      <c r="S60" s="193" t="s">
        <v>80</v>
      </c>
      <c r="T60" s="212">
        <v>1</v>
      </c>
      <c r="U60" s="215">
        <v>1980</v>
      </c>
      <c r="V60" s="278">
        <v>1920</v>
      </c>
      <c r="W60" s="278">
        <v>1800</v>
      </c>
      <c r="X60" s="278">
        <v>1692</v>
      </c>
      <c r="Y60" s="5"/>
      <c r="Z60" s="216">
        <f t="shared" si="0"/>
        <v>0</v>
      </c>
      <c r="AA60" s="255">
        <f t="shared" si="1"/>
        <v>0</v>
      </c>
      <c r="AB60" s="194" t="s">
        <v>305</v>
      </c>
      <c r="AC60" s="195"/>
      <c r="AD60" s="196"/>
      <c r="AE60" s="196"/>
      <c r="AF60" s="168" t="str">
        <f t="shared" si="5"/>
        <v/>
      </c>
    </row>
    <row r="61" spans="2:32" s="169" customFormat="1">
      <c r="B61" s="239"/>
      <c r="C61" s="167" t="s">
        <v>346</v>
      </c>
      <c r="D61" s="252"/>
      <c r="E61" s="252"/>
      <c r="F61" s="252"/>
      <c r="G61" s="252"/>
      <c r="H61" s="252"/>
      <c r="I61" s="192" t="s">
        <v>17</v>
      </c>
      <c r="J61" s="287" t="s">
        <v>443</v>
      </c>
      <c r="K61" s="287" t="s">
        <v>342</v>
      </c>
      <c r="L61" s="287" t="s">
        <v>343</v>
      </c>
      <c r="M61" s="287" t="s">
        <v>344</v>
      </c>
      <c r="N61" s="291" t="s">
        <v>422</v>
      </c>
      <c r="O61" s="288" t="s">
        <v>38</v>
      </c>
      <c r="P61" s="288"/>
      <c r="Q61" s="288"/>
      <c r="R61" s="265"/>
      <c r="S61" s="193" t="s">
        <v>80</v>
      </c>
      <c r="T61" s="212">
        <v>1</v>
      </c>
      <c r="U61" s="215">
        <v>2574</v>
      </c>
      <c r="V61" s="278">
        <v>2496</v>
      </c>
      <c r="W61" s="278">
        <v>2340</v>
      </c>
      <c r="X61" s="278">
        <v>2200</v>
      </c>
      <c r="Y61" s="5"/>
      <c r="Z61" s="216">
        <f t="shared" si="0"/>
        <v>0</v>
      </c>
      <c r="AA61" s="255">
        <f t="shared" si="1"/>
        <v>0</v>
      </c>
      <c r="AB61" s="194" t="s">
        <v>305</v>
      </c>
      <c r="AC61" s="195"/>
      <c r="AD61" s="196"/>
      <c r="AE61" s="196"/>
      <c r="AF61" s="168" t="str">
        <f t="shared" si="5"/>
        <v/>
      </c>
    </row>
    <row r="62" spans="2:32" s="169" customFormat="1">
      <c r="B62" s="239"/>
      <c r="C62" s="167" t="s">
        <v>347</v>
      </c>
      <c r="D62" s="252"/>
      <c r="E62" s="252"/>
      <c r="F62" s="252"/>
      <c r="G62" s="252"/>
      <c r="H62" s="252"/>
      <c r="I62" s="192" t="s">
        <v>17</v>
      </c>
      <c r="J62" s="287" t="s">
        <v>443</v>
      </c>
      <c r="K62" s="287" t="s">
        <v>342</v>
      </c>
      <c r="L62" s="287" t="s">
        <v>343</v>
      </c>
      <c r="M62" s="287" t="s">
        <v>344</v>
      </c>
      <c r="N62" s="291" t="s">
        <v>422</v>
      </c>
      <c r="O62" s="288" t="s">
        <v>33</v>
      </c>
      <c r="P62" s="288"/>
      <c r="Q62" s="288"/>
      <c r="R62" s="265"/>
      <c r="S62" s="193" t="s">
        <v>80</v>
      </c>
      <c r="T62" s="212">
        <v>1</v>
      </c>
      <c r="U62" s="215">
        <v>3366</v>
      </c>
      <c r="V62" s="278">
        <v>3264</v>
      </c>
      <c r="W62" s="278">
        <v>3060</v>
      </c>
      <c r="X62" s="278">
        <v>2877</v>
      </c>
      <c r="Y62" s="5"/>
      <c r="Z62" s="216">
        <f t="shared" si="0"/>
        <v>0</v>
      </c>
      <c r="AA62" s="255">
        <f t="shared" si="1"/>
        <v>0</v>
      </c>
      <c r="AB62" s="194" t="s">
        <v>305</v>
      </c>
      <c r="AC62" s="195"/>
      <c r="AD62" s="196"/>
      <c r="AE62" s="196"/>
      <c r="AF62" s="168" t="str">
        <f t="shared" si="5"/>
        <v/>
      </c>
    </row>
    <row r="63" spans="2:32" s="169" customFormat="1">
      <c r="B63" s="239"/>
      <c r="C63" s="167" t="s">
        <v>401</v>
      </c>
      <c r="D63" s="252">
        <v>5</v>
      </c>
      <c r="E63" s="252"/>
      <c r="F63" s="252"/>
      <c r="G63" s="252">
        <v>0</v>
      </c>
      <c r="H63" s="252">
        <v>32</v>
      </c>
      <c r="I63" s="192" t="s">
        <v>17</v>
      </c>
      <c r="J63" s="192" t="s">
        <v>443</v>
      </c>
      <c r="K63" s="192" t="s">
        <v>11</v>
      </c>
      <c r="L63" s="192" t="s">
        <v>12</v>
      </c>
      <c r="M63" s="192" t="s">
        <v>13</v>
      </c>
      <c r="N63" s="251" t="s">
        <v>422</v>
      </c>
      <c r="O63" s="210" t="s">
        <v>410</v>
      </c>
      <c r="P63" s="210"/>
      <c r="Q63" s="210"/>
      <c r="R63" s="285" t="s">
        <v>438</v>
      </c>
      <c r="S63" s="193" t="s">
        <v>80</v>
      </c>
      <c r="T63" s="212">
        <v>1</v>
      </c>
      <c r="U63" s="215">
        <v>2972</v>
      </c>
      <c r="V63" s="278">
        <v>2882</v>
      </c>
      <c r="W63" s="278">
        <v>2702</v>
      </c>
      <c r="X63" s="278">
        <v>2540</v>
      </c>
      <c r="Y63" s="5"/>
      <c r="Z63" s="216">
        <f t="shared" si="0"/>
        <v>0</v>
      </c>
      <c r="AA63" s="255">
        <f t="shared" si="1"/>
        <v>0</v>
      </c>
      <c r="AB63" s="194"/>
      <c r="AC63" s="195"/>
      <c r="AD63" s="196"/>
      <c r="AE63" s="196"/>
      <c r="AF63" s="168" t="str">
        <f t="shared" si="5"/>
        <v/>
      </c>
    </row>
    <row r="64" spans="2:32" s="169" customFormat="1">
      <c r="B64" s="239"/>
      <c r="C64" s="167" t="s">
        <v>350</v>
      </c>
      <c r="D64" s="252">
        <v>6</v>
      </c>
      <c r="E64" s="252"/>
      <c r="F64" s="252"/>
      <c r="G64" s="252">
        <v>10</v>
      </c>
      <c r="H64" s="252">
        <v>97</v>
      </c>
      <c r="I64" s="192" t="s">
        <v>17</v>
      </c>
      <c r="J64" s="192" t="s">
        <v>443</v>
      </c>
      <c r="K64" s="192" t="s">
        <v>11</v>
      </c>
      <c r="L64" s="192" t="s">
        <v>12</v>
      </c>
      <c r="M64" s="192" t="s">
        <v>13</v>
      </c>
      <c r="N64" s="251" t="s">
        <v>422</v>
      </c>
      <c r="O64" s="210" t="s">
        <v>58</v>
      </c>
      <c r="P64" s="210"/>
      <c r="Q64" s="210"/>
      <c r="R64" s="285" t="s">
        <v>438</v>
      </c>
      <c r="S64" s="193" t="s">
        <v>80</v>
      </c>
      <c r="T64" s="212">
        <v>1</v>
      </c>
      <c r="U64" s="215">
        <v>3395</v>
      </c>
      <c r="V64" s="278">
        <v>3292</v>
      </c>
      <c r="W64" s="278">
        <v>3086</v>
      </c>
      <c r="X64" s="278">
        <v>2901</v>
      </c>
      <c r="Y64" s="5"/>
      <c r="Z64" s="216">
        <f t="shared" si="0"/>
        <v>0</v>
      </c>
      <c r="AA64" s="255">
        <f t="shared" si="1"/>
        <v>0</v>
      </c>
      <c r="AB64" s="194"/>
      <c r="AC64" s="195"/>
      <c r="AD64" s="196"/>
      <c r="AE64" s="196"/>
      <c r="AF64" s="168" t="str">
        <f t="shared" si="5"/>
        <v/>
      </c>
    </row>
    <row r="65" spans="2:32" s="169" customFormat="1">
      <c r="B65" s="239"/>
      <c r="C65" s="167" t="s">
        <v>402</v>
      </c>
      <c r="D65" s="252">
        <v>0</v>
      </c>
      <c r="E65" s="252"/>
      <c r="F65" s="252"/>
      <c r="G65" s="252">
        <v>10</v>
      </c>
      <c r="H65" s="252">
        <v>194</v>
      </c>
      <c r="I65" s="192" t="s">
        <v>17</v>
      </c>
      <c r="J65" s="192" t="s">
        <v>443</v>
      </c>
      <c r="K65" s="192" t="s">
        <v>11</v>
      </c>
      <c r="L65" s="192" t="s">
        <v>12</v>
      </c>
      <c r="M65" s="192" t="s">
        <v>13</v>
      </c>
      <c r="N65" s="251" t="s">
        <v>422</v>
      </c>
      <c r="O65" s="210" t="s">
        <v>411</v>
      </c>
      <c r="P65" s="210"/>
      <c r="Q65" s="210"/>
      <c r="R65" s="285" t="s">
        <v>438</v>
      </c>
      <c r="S65" s="193" t="s">
        <v>80</v>
      </c>
      <c r="T65" s="212">
        <v>1</v>
      </c>
      <c r="U65" s="215">
        <v>4564</v>
      </c>
      <c r="V65" s="278">
        <v>4426</v>
      </c>
      <c r="W65" s="278">
        <v>4149</v>
      </c>
      <c r="X65" s="278">
        <v>3901</v>
      </c>
      <c r="Y65" s="5"/>
      <c r="Z65" s="216">
        <f t="shared" si="0"/>
        <v>0</v>
      </c>
      <c r="AA65" s="255">
        <f t="shared" si="1"/>
        <v>0</v>
      </c>
      <c r="AB65" s="194"/>
      <c r="AC65" s="195"/>
      <c r="AD65" s="196"/>
      <c r="AE65" s="196"/>
      <c r="AF65" s="168" t="str">
        <f t="shared" si="5"/>
        <v/>
      </c>
    </row>
    <row r="66" spans="2:32" s="169" customFormat="1">
      <c r="B66" s="239"/>
      <c r="C66" s="167" t="s">
        <v>459</v>
      </c>
      <c r="D66" s="252">
        <v>0</v>
      </c>
      <c r="E66" s="252"/>
      <c r="F66" s="252"/>
      <c r="G66" s="252">
        <v>1</v>
      </c>
      <c r="H66" s="252">
        <v>6</v>
      </c>
      <c r="I66" s="192" t="s">
        <v>17</v>
      </c>
      <c r="J66" s="192" t="s">
        <v>443</v>
      </c>
      <c r="K66" s="192" t="s">
        <v>11</v>
      </c>
      <c r="L66" s="192" t="s">
        <v>12</v>
      </c>
      <c r="M66" s="192" t="s">
        <v>13</v>
      </c>
      <c r="N66" s="251" t="s">
        <v>422</v>
      </c>
      <c r="O66" s="210" t="s">
        <v>410</v>
      </c>
      <c r="P66" s="210"/>
      <c r="Q66" s="210"/>
      <c r="R66" s="285"/>
      <c r="S66" s="193" t="s">
        <v>80</v>
      </c>
      <c r="T66" s="212">
        <v>1</v>
      </c>
      <c r="U66" s="215">
        <v>2972</v>
      </c>
      <c r="V66" s="278">
        <v>2882</v>
      </c>
      <c r="W66" s="278">
        <v>2702</v>
      </c>
      <c r="X66" s="278">
        <v>2540</v>
      </c>
      <c r="Y66" s="5"/>
      <c r="Z66" s="216">
        <f t="shared" si="0"/>
        <v>0</v>
      </c>
      <c r="AA66" s="255">
        <f t="shared" si="1"/>
        <v>0</v>
      </c>
      <c r="AB66" s="194"/>
      <c r="AC66" s="195"/>
      <c r="AD66" s="196"/>
      <c r="AE66" s="196"/>
      <c r="AF66" s="168"/>
    </row>
    <row r="67" spans="2:32" s="169" customFormat="1">
      <c r="B67" s="239"/>
      <c r="C67" s="167" t="s">
        <v>460</v>
      </c>
      <c r="D67" s="252"/>
      <c r="E67" s="252"/>
      <c r="F67" s="252"/>
      <c r="G67" s="252"/>
      <c r="H67" s="252">
        <v>33</v>
      </c>
      <c r="I67" s="192" t="s">
        <v>17</v>
      </c>
      <c r="J67" s="192" t="s">
        <v>443</v>
      </c>
      <c r="K67" s="192" t="s">
        <v>11</v>
      </c>
      <c r="L67" s="192" t="s">
        <v>12</v>
      </c>
      <c r="M67" s="192" t="s">
        <v>13</v>
      </c>
      <c r="N67" s="251" t="s">
        <v>422</v>
      </c>
      <c r="O67" s="210" t="s">
        <v>58</v>
      </c>
      <c r="P67" s="210"/>
      <c r="Q67" s="210"/>
      <c r="R67" s="285"/>
      <c r="S67" s="193" t="s">
        <v>80</v>
      </c>
      <c r="T67" s="212">
        <v>1</v>
      </c>
      <c r="U67" s="215">
        <v>3395</v>
      </c>
      <c r="V67" s="278">
        <v>3292</v>
      </c>
      <c r="W67" s="278">
        <v>3086</v>
      </c>
      <c r="X67" s="278">
        <v>2901</v>
      </c>
      <c r="Y67" s="5"/>
      <c r="Z67" s="216">
        <f t="shared" si="0"/>
        <v>0</v>
      </c>
      <c r="AA67" s="255">
        <f t="shared" si="1"/>
        <v>0</v>
      </c>
      <c r="AB67" s="194"/>
      <c r="AC67" s="195"/>
      <c r="AD67" s="196"/>
      <c r="AE67" s="196"/>
      <c r="AF67" s="168"/>
    </row>
    <row r="68" spans="2:32" s="169" customFormat="1">
      <c r="B68" s="239"/>
      <c r="C68" s="167" t="s">
        <v>461</v>
      </c>
      <c r="D68" s="252"/>
      <c r="E68" s="252"/>
      <c r="F68" s="252"/>
      <c r="G68" s="252"/>
      <c r="H68" s="252">
        <v>229</v>
      </c>
      <c r="I68" s="192" t="s">
        <v>17</v>
      </c>
      <c r="J68" s="192" t="s">
        <v>443</v>
      </c>
      <c r="K68" s="192" t="s">
        <v>11</v>
      </c>
      <c r="L68" s="192" t="s">
        <v>12</v>
      </c>
      <c r="M68" s="192" t="s">
        <v>13</v>
      </c>
      <c r="N68" s="251" t="s">
        <v>422</v>
      </c>
      <c r="O68" s="210" t="s">
        <v>411</v>
      </c>
      <c r="P68" s="210"/>
      <c r="Q68" s="210"/>
      <c r="R68" s="285"/>
      <c r="S68" s="193" t="s">
        <v>80</v>
      </c>
      <c r="T68" s="212">
        <v>1</v>
      </c>
      <c r="U68" s="215">
        <v>4564</v>
      </c>
      <c r="V68" s="278">
        <v>4426</v>
      </c>
      <c r="W68" s="278">
        <v>4149</v>
      </c>
      <c r="X68" s="278">
        <v>3901</v>
      </c>
      <c r="Y68" s="5"/>
      <c r="Z68" s="216">
        <f t="shared" si="0"/>
        <v>0</v>
      </c>
      <c r="AA68" s="255">
        <f t="shared" si="1"/>
        <v>0</v>
      </c>
      <c r="AB68" s="194"/>
      <c r="AC68" s="195"/>
      <c r="AD68" s="196"/>
      <c r="AE68" s="196"/>
      <c r="AF68" s="168"/>
    </row>
    <row r="69" spans="2:32" s="169" customFormat="1">
      <c r="B69" s="239"/>
      <c r="C69" s="167" t="s">
        <v>351</v>
      </c>
      <c r="D69" s="252"/>
      <c r="E69" s="252"/>
      <c r="F69" s="252"/>
      <c r="G69" s="252"/>
      <c r="H69" s="252">
        <v>292</v>
      </c>
      <c r="I69" s="192" t="s">
        <v>17</v>
      </c>
      <c r="J69" s="192" t="s">
        <v>443</v>
      </c>
      <c r="K69" s="192" t="s">
        <v>11</v>
      </c>
      <c r="L69" s="192" t="s">
        <v>12</v>
      </c>
      <c r="M69" s="192" t="s">
        <v>13</v>
      </c>
      <c r="N69" s="251" t="s">
        <v>422</v>
      </c>
      <c r="O69" s="210" t="s">
        <v>412</v>
      </c>
      <c r="P69" s="288"/>
      <c r="Q69" s="288"/>
      <c r="R69" s="265"/>
      <c r="S69" s="193" t="s">
        <v>80</v>
      </c>
      <c r="T69" s="212">
        <v>1</v>
      </c>
      <c r="U69" s="215">
        <v>5734</v>
      </c>
      <c r="V69" s="278">
        <v>5560</v>
      </c>
      <c r="W69" s="278">
        <v>5213</v>
      </c>
      <c r="X69" s="278">
        <v>4900</v>
      </c>
      <c r="Y69" s="5"/>
      <c r="Z69" s="216">
        <f t="shared" si="0"/>
        <v>0</v>
      </c>
      <c r="AA69" s="255">
        <f t="shared" si="1"/>
        <v>0</v>
      </c>
      <c r="AB69" s="194"/>
      <c r="AC69" s="195"/>
      <c r="AD69" s="196"/>
      <c r="AE69" s="196"/>
      <c r="AF69" s="168" t="str">
        <f>IF(Y69/T69=0,"",IF(MOD(Y69,T69)&gt;0,"ОШИБКА!!! неверная кратность на сорт",""))</f>
        <v/>
      </c>
    </row>
    <row r="70" spans="2:32" s="169" customFormat="1">
      <c r="B70" s="239"/>
      <c r="C70" s="167" t="s">
        <v>352</v>
      </c>
      <c r="D70" s="252"/>
      <c r="E70" s="252"/>
      <c r="F70" s="252"/>
      <c r="G70" s="252"/>
      <c r="H70" s="252">
        <v>56</v>
      </c>
      <c r="I70" s="192" t="s">
        <v>17</v>
      </c>
      <c r="J70" s="192" t="s">
        <v>443</v>
      </c>
      <c r="K70" s="192" t="s">
        <v>11</v>
      </c>
      <c r="L70" s="192" t="s">
        <v>12</v>
      </c>
      <c r="M70" s="192" t="s">
        <v>13</v>
      </c>
      <c r="N70" s="251" t="s">
        <v>422</v>
      </c>
      <c r="O70" s="210" t="s">
        <v>407</v>
      </c>
      <c r="P70" s="288"/>
      <c r="Q70" s="288"/>
      <c r="R70" s="265"/>
      <c r="S70" s="193" t="s">
        <v>80</v>
      </c>
      <c r="T70" s="212">
        <v>1</v>
      </c>
      <c r="U70" s="215">
        <v>6930</v>
      </c>
      <c r="V70" s="278">
        <v>6720</v>
      </c>
      <c r="W70" s="278">
        <v>6300</v>
      </c>
      <c r="X70" s="278">
        <v>5922</v>
      </c>
      <c r="Y70" s="5"/>
      <c r="Z70" s="216">
        <f t="shared" si="0"/>
        <v>0</v>
      </c>
      <c r="AA70" s="255">
        <f t="shared" si="1"/>
        <v>0</v>
      </c>
      <c r="AB70" s="194"/>
      <c r="AC70" s="195"/>
      <c r="AD70" s="196"/>
      <c r="AE70" s="196"/>
      <c r="AF70" s="168" t="str">
        <f>IF(Y70/T70=0,"",IF(MOD(Y70,T70)&gt;0,"ОШИБКА!!! неверная кратность на сорт",""))</f>
        <v/>
      </c>
    </row>
    <row r="71" spans="2:32" s="169" customFormat="1">
      <c r="B71" s="239"/>
      <c r="C71" s="167" t="s">
        <v>353</v>
      </c>
      <c r="D71" s="252"/>
      <c r="E71" s="252"/>
      <c r="F71" s="252"/>
      <c r="G71" s="252"/>
      <c r="H71" s="252">
        <v>48</v>
      </c>
      <c r="I71" s="192" t="s">
        <v>17</v>
      </c>
      <c r="J71" s="192" t="s">
        <v>443</v>
      </c>
      <c r="K71" s="192" t="s">
        <v>11</v>
      </c>
      <c r="L71" s="192" t="s">
        <v>12</v>
      </c>
      <c r="M71" s="192" t="s">
        <v>13</v>
      </c>
      <c r="N71" s="251" t="s">
        <v>422</v>
      </c>
      <c r="O71" s="210" t="s">
        <v>413</v>
      </c>
      <c r="P71" s="288"/>
      <c r="Q71" s="288"/>
      <c r="R71" s="265"/>
      <c r="S71" s="193" t="s">
        <v>80</v>
      </c>
      <c r="T71" s="212">
        <v>1</v>
      </c>
      <c r="U71" s="215">
        <v>7920</v>
      </c>
      <c r="V71" s="278">
        <v>7680</v>
      </c>
      <c r="W71" s="278">
        <v>7200</v>
      </c>
      <c r="X71" s="278">
        <v>6768</v>
      </c>
      <c r="Y71" s="5"/>
      <c r="Z71" s="216">
        <f t="shared" si="0"/>
        <v>0</v>
      </c>
      <c r="AA71" s="255">
        <f t="shared" si="1"/>
        <v>0</v>
      </c>
      <c r="AB71" s="194"/>
      <c r="AC71" s="195"/>
      <c r="AD71" s="196"/>
      <c r="AE71" s="196"/>
      <c r="AF71" s="168" t="str">
        <f>IF(Y71/T71=0,"",IF(MOD(Y71,T71)&gt;0,"ОШИБКА!!! неверная кратность на сорт",""))</f>
        <v/>
      </c>
    </row>
    <row r="72" spans="2:32" s="169" customFormat="1">
      <c r="B72" s="239"/>
      <c r="C72" s="167" t="s">
        <v>462</v>
      </c>
      <c r="D72" s="252"/>
      <c r="E72" s="252"/>
      <c r="F72" s="252"/>
      <c r="G72" s="252"/>
      <c r="H72" s="252">
        <v>67</v>
      </c>
      <c r="I72" s="192" t="s">
        <v>17</v>
      </c>
      <c r="J72" s="192" t="s">
        <v>443</v>
      </c>
      <c r="K72" s="192" t="s">
        <v>11</v>
      </c>
      <c r="L72" s="192" t="s">
        <v>12</v>
      </c>
      <c r="M72" s="192" t="s">
        <v>13</v>
      </c>
      <c r="N72" s="251" t="s">
        <v>422</v>
      </c>
      <c r="O72" s="210" t="s">
        <v>408</v>
      </c>
      <c r="P72" s="288"/>
      <c r="Q72" s="288"/>
      <c r="R72" s="265"/>
      <c r="S72" s="193" t="s">
        <v>80</v>
      </c>
      <c r="T72" s="212">
        <v>1</v>
      </c>
      <c r="U72" s="215">
        <v>8745</v>
      </c>
      <c r="V72" s="278">
        <v>8480</v>
      </c>
      <c r="W72" s="278">
        <v>7950</v>
      </c>
      <c r="X72" s="278">
        <v>7473</v>
      </c>
      <c r="Y72" s="5"/>
      <c r="Z72" s="216">
        <f t="shared" si="0"/>
        <v>0</v>
      </c>
      <c r="AA72" s="255">
        <f t="shared" si="1"/>
        <v>0</v>
      </c>
      <c r="AB72" s="194"/>
      <c r="AC72" s="195"/>
      <c r="AD72" s="196"/>
      <c r="AE72" s="196"/>
      <c r="AF72" s="168"/>
    </row>
    <row r="73" spans="2:32" s="169" customFormat="1">
      <c r="B73" s="239"/>
      <c r="C73" s="167" t="s">
        <v>463</v>
      </c>
      <c r="D73" s="252"/>
      <c r="E73" s="252"/>
      <c r="F73" s="252"/>
      <c r="G73" s="252"/>
      <c r="H73" s="252">
        <v>58</v>
      </c>
      <c r="I73" s="192" t="s">
        <v>17</v>
      </c>
      <c r="J73" s="192" t="s">
        <v>443</v>
      </c>
      <c r="K73" s="192" t="s">
        <v>11</v>
      </c>
      <c r="L73" s="192" t="s">
        <v>12</v>
      </c>
      <c r="M73" s="192" t="s">
        <v>13</v>
      </c>
      <c r="N73" s="251" t="s">
        <v>422</v>
      </c>
      <c r="O73" s="210" t="s">
        <v>458</v>
      </c>
      <c r="P73" s="288"/>
      <c r="Q73" s="288"/>
      <c r="R73" s="265"/>
      <c r="S73" s="193" t="s">
        <v>80</v>
      </c>
      <c r="T73" s="212">
        <v>1</v>
      </c>
      <c r="U73" s="215">
        <v>9653</v>
      </c>
      <c r="V73" s="278">
        <v>9360</v>
      </c>
      <c r="W73" s="278">
        <v>8775</v>
      </c>
      <c r="X73" s="278">
        <v>8249</v>
      </c>
      <c r="Y73" s="5"/>
      <c r="Z73" s="216">
        <f t="shared" si="0"/>
        <v>0</v>
      </c>
      <c r="AA73" s="255">
        <f t="shared" si="1"/>
        <v>0</v>
      </c>
      <c r="AB73" s="194"/>
      <c r="AC73" s="195"/>
      <c r="AD73" s="196"/>
      <c r="AE73" s="196"/>
      <c r="AF73" s="168"/>
    </row>
    <row r="74" spans="2:32" s="169" customFormat="1">
      <c r="B74" s="239"/>
      <c r="C74" s="167" t="s">
        <v>430</v>
      </c>
      <c r="D74" s="252"/>
      <c r="E74" s="252"/>
      <c r="F74" s="252"/>
      <c r="G74" s="252"/>
      <c r="H74" s="252"/>
      <c r="I74" s="192" t="s">
        <v>17</v>
      </c>
      <c r="J74" s="287" t="s">
        <v>443</v>
      </c>
      <c r="K74" s="287" t="s">
        <v>11</v>
      </c>
      <c r="L74" s="287" t="s">
        <v>12</v>
      </c>
      <c r="M74" s="287" t="s">
        <v>13</v>
      </c>
      <c r="N74" s="291" t="s">
        <v>422</v>
      </c>
      <c r="O74" s="288" t="s">
        <v>429</v>
      </c>
      <c r="P74" s="288"/>
      <c r="Q74" s="288"/>
      <c r="R74" s="265"/>
      <c r="S74" s="193" t="s">
        <v>80</v>
      </c>
      <c r="T74" s="212">
        <v>1</v>
      </c>
      <c r="U74" s="215">
        <v>8580</v>
      </c>
      <c r="V74" s="278">
        <v>8320</v>
      </c>
      <c r="W74" s="278">
        <v>7800</v>
      </c>
      <c r="X74" s="278">
        <v>7332</v>
      </c>
      <c r="Y74" s="5"/>
      <c r="Z74" s="216">
        <f t="shared" si="0"/>
        <v>0</v>
      </c>
      <c r="AA74" s="255">
        <f t="shared" si="1"/>
        <v>0</v>
      </c>
      <c r="AB74" s="194" t="s">
        <v>305</v>
      </c>
      <c r="AC74" s="195"/>
      <c r="AD74" s="196"/>
      <c r="AE74" s="196"/>
      <c r="AF74" s="168" t="str">
        <f>IF(Y74/T74=0,"",IF(MOD(Y74,T74)&gt;0,"ОШИБКА!!! неверная кратность на сорт",""))</f>
        <v/>
      </c>
    </row>
    <row r="75" spans="2:32" s="169" customFormat="1">
      <c r="B75" s="239"/>
      <c r="C75" s="167" t="s">
        <v>374</v>
      </c>
      <c r="D75" s="252">
        <v>31</v>
      </c>
      <c r="E75" s="252"/>
      <c r="F75" s="252"/>
      <c r="G75" s="252">
        <v>0</v>
      </c>
      <c r="H75" s="252">
        <v>130</v>
      </c>
      <c r="I75" s="192" t="s">
        <v>17</v>
      </c>
      <c r="J75" s="192" t="s">
        <v>443</v>
      </c>
      <c r="K75" s="192" t="s">
        <v>11</v>
      </c>
      <c r="L75" s="192" t="s">
        <v>12</v>
      </c>
      <c r="M75" s="192" t="s">
        <v>372</v>
      </c>
      <c r="N75" s="251" t="s">
        <v>422</v>
      </c>
      <c r="O75" s="210" t="s">
        <v>35</v>
      </c>
      <c r="P75" s="210"/>
      <c r="Q75" s="210"/>
      <c r="R75" s="285" t="s">
        <v>438</v>
      </c>
      <c r="S75" s="193" t="s">
        <v>80</v>
      </c>
      <c r="T75" s="212">
        <v>1</v>
      </c>
      <c r="U75" s="215">
        <v>2223</v>
      </c>
      <c r="V75" s="278">
        <v>2156</v>
      </c>
      <c r="W75" s="278">
        <v>2021</v>
      </c>
      <c r="X75" s="278">
        <v>1900</v>
      </c>
      <c r="Y75" s="5"/>
      <c r="Z75" s="216">
        <f t="shared" si="0"/>
        <v>0</v>
      </c>
      <c r="AA75" s="255">
        <f t="shared" si="1"/>
        <v>0</v>
      </c>
      <c r="AB75" s="194"/>
      <c r="AC75" s="195"/>
      <c r="AD75" s="196"/>
      <c r="AE75" s="196"/>
      <c r="AF75" s="168" t="str">
        <f>IF(Y75/T75=0,"",IF(MOD(Y75,T75)&gt;0,"ОШИБКА!!! неверная кратность на сорт",""))</f>
        <v/>
      </c>
    </row>
    <row r="76" spans="2:32" s="169" customFormat="1">
      <c r="B76" s="239"/>
      <c r="C76" s="167" t="s">
        <v>403</v>
      </c>
      <c r="D76" s="252">
        <v>20</v>
      </c>
      <c r="E76" s="252"/>
      <c r="F76" s="252"/>
      <c r="G76" s="252">
        <v>0</v>
      </c>
      <c r="H76" s="252">
        <v>216</v>
      </c>
      <c r="I76" s="192" t="s">
        <v>17</v>
      </c>
      <c r="J76" s="192" t="s">
        <v>443</v>
      </c>
      <c r="K76" s="192" t="s">
        <v>11</v>
      </c>
      <c r="L76" s="192" t="s">
        <v>12</v>
      </c>
      <c r="M76" s="192" t="s">
        <v>372</v>
      </c>
      <c r="N76" s="251" t="s">
        <v>422</v>
      </c>
      <c r="O76" s="210" t="s">
        <v>410</v>
      </c>
      <c r="P76" s="210"/>
      <c r="Q76" s="210"/>
      <c r="R76" s="285" t="s">
        <v>438</v>
      </c>
      <c r="S76" s="193" t="s">
        <v>80</v>
      </c>
      <c r="T76" s="212">
        <v>1</v>
      </c>
      <c r="U76" s="215">
        <v>3284</v>
      </c>
      <c r="V76" s="278">
        <v>3184</v>
      </c>
      <c r="W76" s="278">
        <v>2985</v>
      </c>
      <c r="X76" s="278">
        <v>2806</v>
      </c>
      <c r="Y76" s="5"/>
      <c r="Z76" s="216">
        <f t="shared" si="0"/>
        <v>0</v>
      </c>
      <c r="AA76" s="255">
        <f t="shared" si="1"/>
        <v>0</v>
      </c>
      <c r="AB76" s="194"/>
      <c r="AC76" s="195"/>
      <c r="AD76" s="196"/>
      <c r="AE76" s="196"/>
      <c r="AF76" s="168" t="str">
        <f>IF(Y76/T76=0,"",IF(MOD(Y76,T76)&gt;0,"ОШИБКА!!! неверная кратность на сорт",""))</f>
        <v/>
      </c>
    </row>
    <row r="77" spans="2:32" s="169" customFormat="1">
      <c r="B77" s="239"/>
      <c r="C77" s="167" t="s">
        <v>439</v>
      </c>
      <c r="D77" s="252"/>
      <c r="E77" s="252"/>
      <c r="F77" s="252"/>
      <c r="G77" s="252"/>
      <c r="H77" s="252">
        <v>86</v>
      </c>
      <c r="I77" s="192" t="s">
        <v>17</v>
      </c>
      <c r="J77" s="192" t="s">
        <v>443</v>
      </c>
      <c r="K77" s="192" t="s">
        <v>11</v>
      </c>
      <c r="L77" s="192" t="s">
        <v>12</v>
      </c>
      <c r="M77" s="192" t="s">
        <v>372</v>
      </c>
      <c r="N77" s="251" t="s">
        <v>422</v>
      </c>
      <c r="O77" s="210" t="s">
        <v>58</v>
      </c>
      <c r="P77" s="210"/>
      <c r="Q77" s="210"/>
      <c r="R77" s="285" t="s">
        <v>438</v>
      </c>
      <c r="S77" s="193" t="s">
        <v>80</v>
      </c>
      <c r="T77" s="212">
        <v>1</v>
      </c>
      <c r="U77" s="215">
        <v>4389</v>
      </c>
      <c r="V77" s="278">
        <v>4256</v>
      </c>
      <c r="W77" s="278">
        <v>3990</v>
      </c>
      <c r="X77" s="278">
        <v>3751</v>
      </c>
      <c r="Y77" s="5"/>
      <c r="Z77" s="216">
        <f t="shared" si="0"/>
        <v>0</v>
      </c>
      <c r="AA77" s="255">
        <f t="shared" si="1"/>
        <v>0</v>
      </c>
      <c r="AB77" s="194"/>
      <c r="AC77" s="195"/>
      <c r="AD77" s="196"/>
      <c r="AE77" s="196"/>
      <c r="AF77" s="168" t="str">
        <f>IF(Y77/T77=0,"",IF(MOD(Y77,T77)&gt;0,"ОШИБКА!!! неверная кратность на сорт",""))</f>
        <v/>
      </c>
    </row>
    <row r="78" spans="2:32" s="169" customFormat="1">
      <c r="B78" s="239"/>
      <c r="C78" s="167" t="s">
        <v>474</v>
      </c>
      <c r="D78" s="252"/>
      <c r="E78" s="252"/>
      <c r="F78" s="252"/>
      <c r="G78" s="252"/>
      <c r="H78" s="252">
        <v>4</v>
      </c>
      <c r="I78" s="192" t="s">
        <v>17</v>
      </c>
      <c r="J78" s="192" t="s">
        <v>443</v>
      </c>
      <c r="K78" s="192" t="s">
        <v>50</v>
      </c>
      <c r="L78" s="192" t="s">
        <v>49</v>
      </c>
      <c r="M78" s="192"/>
      <c r="N78" s="251" t="s">
        <v>422</v>
      </c>
      <c r="O78" s="210" t="s">
        <v>35</v>
      </c>
      <c r="P78" s="210"/>
      <c r="Q78" s="210"/>
      <c r="R78" s="292" t="s">
        <v>475</v>
      </c>
      <c r="S78" s="193" t="s">
        <v>80</v>
      </c>
      <c r="T78" s="212">
        <v>1</v>
      </c>
      <c r="U78" s="215">
        <v>1649</v>
      </c>
      <c r="V78" s="278">
        <v>1599</v>
      </c>
      <c r="W78" s="278">
        <v>1499</v>
      </c>
      <c r="X78" s="278">
        <v>1409</v>
      </c>
      <c r="Y78" s="5"/>
      <c r="Z78" s="216">
        <f t="shared" si="0"/>
        <v>0</v>
      </c>
      <c r="AA78" s="255">
        <f t="shared" si="1"/>
        <v>0</v>
      </c>
      <c r="AB78" s="194"/>
      <c r="AC78" s="195"/>
      <c r="AD78" s="196"/>
      <c r="AE78" s="196"/>
      <c r="AF78" s="168"/>
    </row>
    <row r="79" spans="2:32" s="169" customFormat="1">
      <c r="B79" s="239"/>
      <c r="C79" s="167" t="s">
        <v>337</v>
      </c>
      <c r="D79" s="252"/>
      <c r="E79" s="252"/>
      <c r="F79" s="252"/>
      <c r="G79" s="252"/>
      <c r="H79" s="252">
        <v>4</v>
      </c>
      <c r="I79" s="192" t="s">
        <v>17</v>
      </c>
      <c r="J79" s="192" t="s">
        <v>443</v>
      </c>
      <c r="K79" s="192" t="s">
        <v>50</v>
      </c>
      <c r="L79" s="192" t="s">
        <v>49</v>
      </c>
      <c r="M79" s="192"/>
      <c r="N79" s="251" t="s">
        <v>422</v>
      </c>
      <c r="O79" s="210" t="s">
        <v>410</v>
      </c>
      <c r="P79" s="210"/>
      <c r="Q79" s="288"/>
      <c r="R79" s="292" t="s">
        <v>475</v>
      </c>
      <c r="S79" s="193" t="s">
        <v>80</v>
      </c>
      <c r="T79" s="212">
        <v>1</v>
      </c>
      <c r="U79" s="215">
        <v>2388</v>
      </c>
      <c r="V79" s="278">
        <v>2316</v>
      </c>
      <c r="W79" s="278">
        <v>2171</v>
      </c>
      <c r="X79" s="278">
        <v>2041</v>
      </c>
      <c r="Y79" s="5"/>
      <c r="Z79" s="216">
        <f t="shared" si="0"/>
        <v>0</v>
      </c>
      <c r="AA79" s="255">
        <f t="shared" si="1"/>
        <v>0</v>
      </c>
      <c r="AB79" s="194"/>
      <c r="AC79" s="195"/>
      <c r="AD79" s="196"/>
      <c r="AE79" s="196"/>
      <c r="AF79" s="168" t="str">
        <f>IF(Y79/T79=0,"",IF(MOD(Y79,T79)&gt;0,"ОШИБКА!!! неверная кратность на сорт",""))</f>
        <v/>
      </c>
    </row>
    <row r="80" spans="2:32" s="169" customFormat="1">
      <c r="B80" s="239"/>
      <c r="C80" s="167" t="s">
        <v>338</v>
      </c>
      <c r="D80" s="252">
        <v>0</v>
      </c>
      <c r="E80" s="252"/>
      <c r="F80" s="252"/>
      <c r="G80" s="252">
        <v>2</v>
      </c>
      <c r="H80" s="252">
        <v>1</v>
      </c>
      <c r="I80" s="192" t="s">
        <v>17</v>
      </c>
      <c r="J80" s="192" t="s">
        <v>443</v>
      </c>
      <c r="K80" s="192" t="s">
        <v>50</v>
      </c>
      <c r="L80" s="192" t="s">
        <v>49</v>
      </c>
      <c r="M80" s="192"/>
      <c r="N80" s="251" t="s">
        <v>422</v>
      </c>
      <c r="O80" s="210" t="s">
        <v>58</v>
      </c>
      <c r="P80" s="211"/>
      <c r="Q80" s="210"/>
      <c r="R80" s="292" t="s">
        <v>475</v>
      </c>
      <c r="S80" s="193" t="s">
        <v>80</v>
      </c>
      <c r="T80" s="212">
        <v>1</v>
      </c>
      <c r="U80" s="215">
        <v>4158</v>
      </c>
      <c r="V80" s="278">
        <v>4032</v>
      </c>
      <c r="W80" s="278">
        <v>3780</v>
      </c>
      <c r="X80" s="278">
        <v>3554</v>
      </c>
      <c r="Y80" s="5"/>
      <c r="Z80" s="216">
        <f t="shared" si="0"/>
        <v>0</v>
      </c>
      <c r="AA80" s="255">
        <f t="shared" si="1"/>
        <v>0</v>
      </c>
      <c r="AB80" s="194"/>
      <c r="AC80" s="195"/>
      <c r="AD80" s="196"/>
      <c r="AE80" s="196"/>
      <c r="AF80" s="168" t="str">
        <f>IF(Y80/T80=0,"",IF(MOD(Y80,T80)&gt;0,"ОШИБКА!!! неверная кратность на сорт",""))</f>
        <v/>
      </c>
    </row>
    <row r="81" spans="2:32" s="169" customFormat="1">
      <c r="B81" s="239"/>
      <c r="C81" s="167" t="s">
        <v>339</v>
      </c>
      <c r="D81" s="252"/>
      <c r="E81" s="252"/>
      <c r="F81" s="252"/>
      <c r="G81" s="252"/>
      <c r="H81" s="252">
        <v>6</v>
      </c>
      <c r="I81" s="192" t="s">
        <v>17</v>
      </c>
      <c r="J81" s="192" t="s">
        <v>443</v>
      </c>
      <c r="K81" s="192" t="s">
        <v>50</v>
      </c>
      <c r="L81" s="192" t="s">
        <v>49</v>
      </c>
      <c r="M81" s="192"/>
      <c r="N81" s="251" t="s">
        <v>422</v>
      </c>
      <c r="O81" s="210" t="s">
        <v>411</v>
      </c>
      <c r="P81" s="211"/>
      <c r="Q81" s="288"/>
      <c r="R81" s="292" t="s">
        <v>475</v>
      </c>
      <c r="S81" s="193" t="s">
        <v>80</v>
      </c>
      <c r="T81" s="212">
        <v>1</v>
      </c>
      <c r="U81" s="215">
        <v>4752</v>
      </c>
      <c r="V81" s="278">
        <v>4608</v>
      </c>
      <c r="W81" s="278">
        <v>4320</v>
      </c>
      <c r="X81" s="278">
        <v>4061</v>
      </c>
      <c r="Y81" s="5"/>
      <c r="Z81" s="216">
        <f t="shared" si="0"/>
        <v>0</v>
      </c>
      <c r="AA81" s="255">
        <f t="shared" si="1"/>
        <v>0</v>
      </c>
      <c r="AB81" s="194"/>
      <c r="AC81" s="195"/>
      <c r="AD81" s="196"/>
      <c r="AE81" s="196"/>
      <c r="AF81" s="168" t="str">
        <f>IF(Y81/T81=0,"",IF(MOD(Y81,T81)&gt;0,"ОШИБКА!!! неверная кратность на сорт",""))</f>
        <v/>
      </c>
    </row>
    <row r="82" spans="2:32" s="169" customFormat="1">
      <c r="B82" s="239"/>
      <c r="C82" s="167" t="s">
        <v>340</v>
      </c>
      <c r="D82" s="252"/>
      <c r="E82" s="252"/>
      <c r="F82" s="252"/>
      <c r="G82" s="252"/>
      <c r="H82" s="252">
        <v>8</v>
      </c>
      <c r="I82" s="192" t="s">
        <v>17</v>
      </c>
      <c r="J82" s="192" t="s">
        <v>443</v>
      </c>
      <c r="K82" s="192" t="s">
        <v>50</v>
      </c>
      <c r="L82" s="192" t="s">
        <v>49</v>
      </c>
      <c r="M82" s="192"/>
      <c r="N82" s="251" t="s">
        <v>422</v>
      </c>
      <c r="O82" s="210" t="s">
        <v>412</v>
      </c>
      <c r="P82" s="211"/>
      <c r="Q82" s="288"/>
      <c r="R82" s="292" t="s">
        <v>475</v>
      </c>
      <c r="S82" s="193" t="s">
        <v>80</v>
      </c>
      <c r="T82" s="212">
        <v>1</v>
      </c>
      <c r="U82" s="215">
        <v>5346</v>
      </c>
      <c r="V82" s="278">
        <v>5184</v>
      </c>
      <c r="W82" s="278">
        <v>4860</v>
      </c>
      <c r="X82" s="278">
        <v>4569</v>
      </c>
      <c r="Y82" s="5"/>
      <c r="Z82" s="216">
        <f t="shared" si="0"/>
        <v>0</v>
      </c>
      <c r="AA82" s="255">
        <f t="shared" si="1"/>
        <v>0</v>
      </c>
      <c r="AB82" s="194"/>
      <c r="AC82" s="195"/>
      <c r="AD82" s="196"/>
      <c r="AE82" s="196"/>
      <c r="AF82" s="168" t="str">
        <f>IF(Y82/T82=0,"",IF(MOD(Y82,T82)&gt;0,"ОШИБКА!!! неверная кратность на сорт",""))</f>
        <v/>
      </c>
    </row>
    <row r="83" spans="2:32" s="169" customFormat="1">
      <c r="B83" s="239"/>
      <c r="C83" s="167" t="s">
        <v>341</v>
      </c>
      <c r="D83" s="252"/>
      <c r="E83" s="252"/>
      <c r="F83" s="252"/>
      <c r="G83" s="252"/>
      <c r="H83" s="252">
        <v>13</v>
      </c>
      <c r="I83" s="192" t="s">
        <v>17</v>
      </c>
      <c r="J83" s="192" t="s">
        <v>443</v>
      </c>
      <c r="K83" s="192" t="s">
        <v>50</v>
      </c>
      <c r="L83" s="192" t="s">
        <v>49</v>
      </c>
      <c r="M83" s="192"/>
      <c r="N83" s="251" t="s">
        <v>422</v>
      </c>
      <c r="O83" s="210" t="s">
        <v>407</v>
      </c>
      <c r="P83" s="211"/>
      <c r="Q83" s="288"/>
      <c r="R83" s="292" t="s">
        <v>475</v>
      </c>
      <c r="S83" s="193" t="s">
        <v>80</v>
      </c>
      <c r="T83" s="212">
        <v>1</v>
      </c>
      <c r="U83" s="215">
        <v>6336</v>
      </c>
      <c r="V83" s="278">
        <v>6144</v>
      </c>
      <c r="W83" s="278">
        <v>5760</v>
      </c>
      <c r="X83" s="278">
        <v>5415</v>
      </c>
      <c r="Y83" s="5"/>
      <c r="Z83" s="216">
        <f t="shared" si="0"/>
        <v>0</v>
      </c>
      <c r="AA83" s="255">
        <f t="shared" si="1"/>
        <v>0</v>
      </c>
      <c r="AB83" s="194"/>
      <c r="AC83" s="195"/>
      <c r="AD83" s="196"/>
      <c r="AE83" s="196"/>
      <c r="AF83" s="168" t="str">
        <f>IF(Y83/T83=0,"",IF(MOD(Y83,T83)&gt;0,"ОШИБКА!!! неверная кратность на сорт",""))</f>
        <v/>
      </c>
    </row>
    <row r="84" spans="2:32" s="169" customFormat="1">
      <c r="B84" s="239"/>
      <c r="C84" s="167" t="s">
        <v>472</v>
      </c>
      <c r="D84" s="252"/>
      <c r="E84" s="252"/>
      <c r="F84" s="252"/>
      <c r="G84" s="252"/>
      <c r="H84" s="252">
        <v>13</v>
      </c>
      <c r="I84" s="192" t="s">
        <v>17</v>
      </c>
      <c r="J84" s="192" t="s">
        <v>443</v>
      </c>
      <c r="K84" s="192" t="s">
        <v>50</v>
      </c>
      <c r="L84" s="192" t="s">
        <v>49</v>
      </c>
      <c r="M84" s="192"/>
      <c r="N84" s="251" t="s">
        <v>422</v>
      </c>
      <c r="O84" s="210" t="s">
        <v>413</v>
      </c>
      <c r="P84" s="211"/>
      <c r="Q84" s="288"/>
      <c r="R84" s="292" t="s">
        <v>475</v>
      </c>
      <c r="S84" s="193" t="s">
        <v>80</v>
      </c>
      <c r="T84" s="212">
        <v>1</v>
      </c>
      <c r="U84" s="215">
        <v>6930</v>
      </c>
      <c r="V84" s="278">
        <v>6720</v>
      </c>
      <c r="W84" s="278">
        <v>6300</v>
      </c>
      <c r="X84" s="278">
        <v>5922</v>
      </c>
      <c r="Y84" s="5"/>
      <c r="Z84" s="216">
        <f t="shared" si="0"/>
        <v>0</v>
      </c>
      <c r="AA84" s="255">
        <f t="shared" si="1"/>
        <v>0</v>
      </c>
      <c r="AB84" s="194"/>
      <c r="AC84" s="195"/>
      <c r="AD84" s="196"/>
      <c r="AE84" s="196"/>
      <c r="AF84" s="168"/>
    </row>
    <row r="85" spans="2:32" s="169" customFormat="1">
      <c r="B85" s="239"/>
      <c r="C85" s="167" t="s">
        <v>473</v>
      </c>
      <c r="D85" s="252"/>
      <c r="E85" s="252"/>
      <c r="F85" s="252"/>
      <c r="G85" s="252"/>
      <c r="H85" s="252">
        <v>9</v>
      </c>
      <c r="I85" s="192" t="s">
        <v>17</v>
      </c>
      <c r="J85" s="192" t="s">
        <v>443</v>
      </c>
      <c r="K85" s="192" t="s">
        <v>50</v>
      </c>
      <c r="L85" s="192" t="s">
        <v>49</v>
      </c>
      <c r="M85" s="192"/>
      <c r="N85" s="251" t="s">
        <v>422</v>
      </c>
      <c r="O85" s="210" t="s">
        <v>408</v>
      </c>
      <c r="P85" s="211"/>
      <c r="Q85" s="288"/>
      <c r="R85" s="292" t="s">
        <v>475</v>
      </c>
      <c r="S85" s="193" t="s">
        <v>80</v>
      </c>
      <c r="T85" s="212">
        <v>1</v>
      </c>
      <c r="U85" s="215">
        <v>7343</v>
      </c>
      <c r="V85" s="278">
        <v>7120</v>
      </c>
      <c r="W85" s="278">
        <v>6675</v>
      </c>
      <c r="X85" s="278">
        <v>6275</v>
      </c>
      <c r="Y85" s="5"/>
      <c r="Z85" s="216">
        <f t="shared" si="0"/>
        <v>0</v>
      </c>
      <c r="AA85" s="255">
        <f t="shared" si="1"/>
        <v>0</v>
      </c>
      <c r="AB85" s="194"/>
      <c r="AC85" s="195"/>
      <c r="AD85" s="196"/>
      <c r="AE85" s="196"/>
      <c r="AF85" s="168"/>
    </row>
    <row r="86" spans="2:32" s="169" customFormat="1">
      <c r="B86" s="239"/>
      <c r="C86" s="167" t="s">
        <v>283</v>
      </c>
      <c r="D86" s="252">
        <v>1</v>
      </c>
      <c r="E86" s="252"/>
      <c r="F86" s="252"/>
      <c r="G86" s="252">
        <v>0</v>
      </c>
      <c r="H86" s="252"/>
      <c r="I86" s="192" t="s">
        <v>17</v>
      </c>
      <c r="J86" s="192" t="s">
        <v>443</v>
      </c>
      <c r="K86" s="192" t="s">
        <v>50</v>
      </c>
      <c r="L86" s="192" t="s">
        <v>49</v>
      </c>
      <c r="M86" s="192" t="s">
        <v>295</v>
      </c>
      <c r="N86" s="251" t="s">
        <v>422</v>
      </c>
      <c r="O86" s="210" t="s">
        <v>35</v>
      </c>
      <c r="P86" s="210"/>
      <c r="Q86" s="210"/>
      <c r="R86" s="265"/>
      <c r="S86" s="193" t="s">
        <v>80</v>
      </c>
      <c r="T86" s="212">
        <v>1</v>
      </c>
      <c r="U86" s="215">
        <v>86025</v>
      </c>
      <c r="V86" s="278">
        <v>83418</v>
      </c>
      <c r="W86" s="278">
        <v>78204</v>
      </c>
      <c r="X86" s="278">
        <v>73512</v>
      </c>
      <c r="Y86" s="5"/>
      <c r="Z86" s="216">
        <f t="shared" ref="Z86:Z149" si="6">U86*Y86</f>
        <v>0</v>
      </c>
      <c r="AA86" s="255">
        <f t="shared" ref="AA86:AA149" si="7">IF(V86&lt;&gt;"",IF(AND($Z$19&gt;=200000,Y86&gt;=20),Y86*X86,IF(AND($Z$19&gt;=200000,Y86&lt;20),Y86*W86,IF(AND($Z$19&lt;200000,Y86&gt;=20),Y86*V86,Y86*U86))),IF($Z$19&gt;=200000,Y86*W86,Y86*U86))</f>
        <v>0</v>
      </c>
      <c r="AB86" s="194"/>
      <c r="AC86" s="195"/>
      <c r="AD86" s="196"/>
      <c r="AE86" s="196"/>
      <c r="AF86" s="168" t="str">
        <f>IF(Y86/T86=0,"",IF(MOD(Y86,T86)&gt;0,"ОШИБКА!!! неверная кратность на сорт",""))</f>
        <v/>
      </c>
    </row>
    <row r="87" spans="2:32" s="169" customFormat="1">
      <c r="B87" s="239"/>
      <c r="C87" s="167" t="s">
        <v>366</v>
      </c>
      <c r="D87" s="252">
        <v>0</v>
      </c>
      <c r="E87" s="252"/>
      <c r="F87" s="252"/>
      <c r="G87" s="252">
        <v>1</v>
      </c>
      <c r="H87" s="252">
        <v>4</v>
      </c>
      <c r="I87" s="192" t="s">
        <v>17</v>
      </c>
      <c r="J87" s="192" t="s">
        <v>443</v>
      </c>
      <c r="K87" s="192" t="s">
        <v>5</v>
      </c>
      <c r="L87" s="192" t="s">
        <v>6</v>
      </c>
      <c r="M87" s="192"/>
      <c r="N87" s="251" t="s">
        <v>422</v>
      </c>
      <c r="O87" s="210" t="s">
        <v>38</v>
      </c>
      <c r="P87" s="210"/>
      <c r="Q87" s="210"/>
      <c r="R87" s="265"/>
      <c r="S87" s="193" t="s">
        <v>80</v>
      </c>
      <c r="T87" s="212">
        <v>1</v>
      </c>
      <c r="U87" s="215">
        <v>5346</v>
      </c>
      <c r="V87" s="278">
        <v>5184</v>
      </c>
      <c r="W87" s="278">
        <v>4860</v>
      </c>
      <c r="X87" s="278">
        <v>4569</v>
      </c>
      <c r="Y87" s="5"/>
      <c r="Z87" s="216">
        <f t="shared" si="6"/>
        <v>0</v>
      </c>
      <c r="AA87" s="255">
        <f t="shared" si="7"/>
        <v>0</v>
      </c>
      <c r="AB87" s="194"/>
      <c r="AC87" s="195"/>
      <c r="AD87" s="196"/>
      <c r="AE87" s="196"/>
      <c r="AF87" s="168" t="str">
        <f>IF(Y87/T87=0,"",IF(MOD(Y87,T87)&gt;0,"ОШИБКА!!! неверная кратность на сорт",""))</f>
        <v/>
      </c>
    </row>
    <row r="88" spans="2:32" s="169" customFormat="1">
      <c r="B88" s="239"/>
      <c r="C88" s="167" t="s">
        <v>367</v>
      </c>
      <c r="D88" s="252"/>
      <c r="E88" s="252"/>
      <c r="F88" s="252"/>
      <c r="G88" s="252"/>
      <c r="H88" s="252"/>
      <c r="I88" s="192" t="s">
        <v>17</v>
      </c>
      <c r="J88" s="287" t="s">
        <v>443</v>
      </c>
      <c r="K88" s="287" t="s">
        <v>5</v>
      </c>
      <c r="L88" s="287" t="s">
        <v>6</v>
      </c>
      <c r="M88" s="287"/>
      <c r="N88" s="291" t="s">
        <v>422</v>
      </c>
      <c r="O88" s="288" t="s">
        <v>33</v>
      </c>
      <c r="P88" s="288"/>
      <c r="Q88" s="288"/>
      <c r="R88" s="265"/>
      <c r="S88" s="193" t="s">
        <v>80</v>
      </c>
      <c r="T88" s="212">
        <v>1</v>
      </c>
      <c r="U88" s="215">
        <v>5940</v>
      </c>
      <c r="V88" s="278">
        <v>5760</v>
      </c>
      <c r="W88" s="278">
        <v>5400</v>
      </c>
      <c r="X88" s="278">
        <v>5076</v>
      </c>
      <c r="Y88" s="5"/>
      <c r="Z88" s="216">
        <f t="shared" si="6"/>
        <v>0</v>
      </c>
      <c r="AA88" s="255">
        <f t="shared" si="7"/>
        <v>0</v>
      </c>
      <c r="AB88" s="194" t="s">
        <v>305</v>
      </c>
      <c r="AC88" s="195"/>
      <c r="AD88" s="196"/>
      <c r="AE88" s="196"/>
      <c r="AF88" s="168" t="str">
        <f>IF(Y88/T88=0,"",IF(MOD(Y88,T88)&gt;0,"ОШИБКА!!! неверная кратность на сорт",""))</f>
        <v/>
      </c>
    </row>
    <row r="89" spans="2:32" s="169" customFormat="1">
      <c r="B89" s="239"/>
      <c r="C89" s="167" t="s">
        <v>521</v>
      </c>
      <c r="D89" s="252"/>
      <c r="E89" s="252"/>
      <c r="F89" s="252"/>
      <c r="G89" s="252"/>
      <c r="H89" s="252">
        <v>2</v>
      </c>
      <c r="I89" s="192" t="s">
        <v>17</v>
      </c>
      <c r="J89" s="192" t="s">
        <v>443</v>
      </c>
      <c r="K89" s="192" t="s">
        <v>5</v>
      </c>
      <c r="L89" s="192" t="s">
        <v>6</v>
      </c>
      <c r="M89" s="192" t="s">
        <v>520</v>
      </c>
      <c r="N89" s="251" t="s">
        <v>422</v>
      </c>
      <c r="O89" s="210" t="s">
        <v>14</v>
      </c>
      <c r="P89" s="288"/>
      <c r="Q89" s="288"/>
      <c r="R89" s="265"/>
      <c r="S89" s="193" t="s">
        <v>80</v>
      </c>
      <c r="T89" s="212">
        <v>1</v>
      </c>
      <c r="U89" s="215">
        <v>5280</v>
      </c>
      <c r="V89" s="278">
        <v>5120</v>
      </c>
      <c r="W89" s="278">
        <v>4800</v>
      </c>
      <c r="X89" s="278">
        <v>4512</v>
      </c>
      <c r="Y89" s="5"/>
      <c r="Z89" s="216">
        <f t="shared" si="6"/>
        <v>0</v>
      </c>
      <c r="AA89" s="255">
        <f t="shared" si="7"/>
        <v>0</v>
      </c>
      <c r="AB89" s="194"/>
      <c r="AC89" s="195"/>
      <c r="AD89" s="196"/>
      <c r="AE89" s="196"/>
      <c r="AF89" s="168"/>
    </row>
    <row r="90" spans="2:32" s="169" customFormat="1">
      <c r="B90" s="239"/>
      <c r="C90" s="167" t="s">
        <v>476</v>
      </c>
      <c r="D90" s="252"/>
      <c r="E90" s="252"/>
      <c r="F90" s="252"/>
      <c r="G90" s="252"/>
      <c r="H90" s="252">
        <v>4</v>
      </c>
      <c r="I90" s="192" t="s">
        <v>17</v>
      </c>
      <c r="J90" s="192" t="s">
        <v>443</v>
      </c>
      <c r="K90" s="192" t="s">
        <v>5</v>
      </c>
      <c r="L90" s="192" t="s">
        <v>6</v>
      </c>
      <c r="M90" s="192" t="s">
        <v>510</v>
      </c>
      <c r="N90" s="251" t="s">
        <v>422</v>
      </c>
      <c r="O90" s="210" t="s">
        <v>7</v>
      </c>
      <c r="P90" s="288"/>
      <c r="Q90" s="288"/>
      <c r="R90" s="265"/>
      <c r="S90" s="193" t="s">
        <v>80</v>
      </c>
      <c r="T90" s="212">
        <v>1</v>
      </c>
      <c r="U90" s="215">
        <v>4670</v>
      </c>
      <c r="V90" s="278">
        <v>4528</v>
      </c>
      <c r="W90" s="278">
        <v>4245</v>
      </c>
      <c r="X90" s="278">
        <v>3991</v>
      </c>
      <c r="Y90" s="5"/>
      <c r="Z90" s="216">
        <f t="shared" si="6"/>
        <v>0</v>
      </c>
      <c r="AA90" s="255">
        <f t="shared" si="7"/>
        <v>0</v>
      </c>
      <c r="AB90" s="194"/>
      <c r="AC90" s="195"/>
      <c r="AD90" s="196"/>
      <c r="AE90" s="196"/>
      <c r="AF90" s="168"/>
    </row>
    <row r="91" spans="2:32" s="169" customFormat="1">
      <c r="B91" s="239"/>
      <c r="C91" s="167" t="s">
        <v>477</v>
      </c>
      <c r="D91" s="252"/>
      <c r="E91" s="252"/>
      <c r="F91" s="252"/>
      <c r="G91" s="252"/>
      <c r="H91" s="252">
        <v>34</v>
      </c>
      <c r="I91" s="192" t="s">
        <v>17</v>
      </c>
      <c r="J91" s="192" t="s">
        <v>443</v>
      </c>
      <c r="K91" s="192" t="s">
        <v>5</v>
      </c>
      <c r="L91" s="192" t="s">
        <v>6</v>
      </c>
      <c r="M91" s="192" t="s">
        <v>510</v>
      </c>
      <c r="N91" s="251" t="s">
        <v>422</v>
      </c>
      <c r="O91" s="210" t="s">
        <v>14</v>
      </c>
      <c r="P91" s="288"/>
      <c r="Q91" s="288"/>
      <c r="R91" s="265"/>
      <c r="S91" s="193" t="s">
        <v>80</v>
      </c>
      <c r="T91" s="212">
        <v>1</v>
      </c>
      <c r="U91" s="215">
        <v>5280</v>
      </c>
      <c r="V91" s="278">
        <v>5120</v>
      </c>
      <c r="W91" s="278">
        <v>4800</v>
      </c>
      <c r="X91" s="278">
        <v>4512</v>
      </c>
      <c r="Y91" s="5"/>
      <c r="Z91" s="216">
        <f t="shared" si="6"/>
        <v>0</v>
      </c>
      <c r="AA91" s="255">
        <f t="shared" si="7"/>
        <v>0</v>
      </c>
      <c r="AB91" s="194"/>
      <c r="AC91" s="195"/>
      <c r="AD91" s="196"/>
      <c r="AE91" s="196"/>
      <c r="AF91" s="168"/>
    </row>
    <row r="92" spans="2:32" s="169" customFormat="1">
      <c r="B92" s="239"/>
      <c r="C92" s="167" t="s">
        <v>166</v>
      </c>
      <c r="D92" s="252"/>
      <c r="E92" s="252"/>
      <c r="F92" s="252"/>
      <c r="G92" s="252"/>
      <c r="H92" s="252">
        <v>192</v>
      </c>
      <c r="I92" s="192" t="s">
        <v>17</v>
      </c>
      <c r="J92" s="192" t="s">
        <v>443</v>
      </c>
      <c r="K92" s="192" t="s">
        <v>5</v>
      </c>
      <c r="L92" s="192" t="s">
        <v>6</v>
      </c>
      <c r="M92" s="192" t="s">
        <v>510</v>
      </c>
      <c r="N92" s="251" t="s">
        <v>422</v>
      </c>
      <c r="O92" s="210" t="s">
        <v>38</v>
      </c>
      <c r="P92" s="288"/>
      <c r="Q92" s="288"/>
      <c r="R92" s="265"/>
      <c r="S92" s="193" t="s">
        <v>80</v>
      </c>
      <c r="T92" s="212">
        <v>1</v>
      </c>
      <c r="U92" s="215">
        <v>6119</v>
      </c>
      <c r="V92" s="278">
        <v>5933</v>
      </c>
      <c r="W92" s="278">
        <v>5562</v>
      </c>
      <c r="X92" s="278">
        <v>5229</v>
      </c>
      <c r="Y92" s="5"/>
      <c r="Z92" s="216">
        <f t="shared" si="6"/>
        <v>0</v>
      </c>
      <c r="AA92" s="255">
        <f t="shared" si="7"/>
        <v>0</v>
      </c>
      <c r="AB92" s="194"/>
      <c r="AC92" s="195"/>
      <c r="AD92" s="196"/>
      <c r="AE92" s="196"/>
      <c r="AF92" s="168"/>
    </row>
    <row r="93" spans="2:32" s="169" customFormat="1">
      <c r="B93" s="239"/>
      <c r="C93" s="167" t="s">
        <v>368</v>
      </c>
      <c r="D93" s="252"/>
      <c r="E93" s="252"/>
      <c r="F93" s="252"/>
      <c r="G93" s="252"/>
      <c r="H93" s="252">
        <v>23</v>
      </c>
      <c r="I93" s="192" t="s">
        <v>17</v>
      </c>
      <c r="J93" s="192" t="s">
        <v>443</v>
      </c>
      <c r="K93" s="192" t="s">
        <v>5</v>
      </c>
      <c r="L93" s="192" t="s">
        <v>6</v>
      </c>
      <c r="M93" s="192" t="s">
        <v>510</v>
      </c>
      <c r="N93" s="251" t="s">
        <v>422</v>
      </c>
      <c r="O93" s="210" t="s">
        <v>33</v>
      </c>
      <c r="P93" s="288"/>
      <c r="Q93" s="288"/>
      <c r="R93" s="265"/>
      <c r="S93" s="193" t="s">
        <v>80</v>
      </c>
      <c r="T93" s="212">
        <v>1</v>
      </c>
      <c r="U93" s="215">
        <v>6930</v>
      </c>
      <c r="V93" s="278">
        <v>6720</v>
      </c>
      <c r="W93" s="278">
        <v>6300</v>
      </c>
      <c r="X93" s="278">
        <v>5922</v>
      </c>
      <c r="Y93" s="5"/>
      <c r="Z93" s="216">
        <f t="shared" si="6"/>
        <v>0</v>
      </c>
      <c r="AA93" s="255">
        <f t="shared" si="7"/>
        <v>0</v>
      </c>
      <c r="AB93" s="194"/>
      <c r="AC93" s="195"/>
      <c r="AD93" s="196"/>
      <c r="AE93" s="196"/>
      <c r="AF93" s="168" t="str">
        <f>IF(Y93/T93=0,"",IF(MOD(Y93,T93)&gt;0,"ОШИБКА!!! неверная кратность на сорт",""))</f>
        <v/>
      </c>
    </row>
    <row r="94" spans="2:32" s="169" customFormat="1">
      <c r="B94" s="239"/>
      <c r="C94" s="167" t="s">
        <v>373</v>
      </c>
      <c r="D94" s="252">
        <v>27</v>
      </c>
      <c r="E94" s="252"/>
      <c r="F94" s="252"/>
      <c r="G94" s="252">
        <v>1</v>
      </c>
      <c r="H94" s="252"/>
      <c r="I94" s="192" t="s">
        <v>17</v>
      </c>
      <c r="J94" s="192" t="s">
        <v>443</v>
      </c>
      <c r="K94" s="192" t="s">
        <v>5</v>
      </c>
      <c r="L94" s="192" t="s">
        <v>6</v>
      </c>
      <c r="M94" s="192" t="s">
        <v>509</v>
      </c>
      <c r="N94" s="251" t="s">
        <v>422</v>
      </c>
      <c r="O94" s="210"/>
      <c r="P94" s="210" t="s">
        <v>45</v>
      </c>
      <c r="Q94" s="210"/>
      <c r="R94" s="285" t="s">
        <v>438</v>
      </c>
      <c r="S94" s="193" t="s">
        <v>80</v>
      </c>
      <c r="T94" s="212">
        <v>1</v>
      </c>
      <c r="U94" s="215">
        <v>4290</v>
      </c>
      <c r="V94" s="278">
        <v>4160</v>
      </c>
      <c r="W94" s="278">
        <v>3900</v>
      </c>
      <c r="X94" s="278">
        <v>3666</v>
      </c>
      <c r="Y94" s="5"/>
      <c r="Z94" s="216">
        <f t="shared" si="6"/>
        <v>0</v>
      </c>
      <c r="AA94" s="255">
        <f t="shared" si="7"/>
        <v>0</v>
      </c>
      <c r="AB94" s="194"/>
      <c r="AC94" s="195"/>
      <c r="AD94" s="196"/>
      <c r="AE94" s="196"/>
      <c r="AF94" s="168" t="str">
        <f>IF(Y94/T94=0,"",IF(MOD(Y94,T94)&gt;0,"ОШИБКА!!! неверная кратность на сорт",""))</f>
        <v/>
      </c>
    </row>
    <row r="95" spans="2:32" s="169" customFormat="1">
      <c r="B95" s="239"/>
      <c r="C95" s="167" t="s">
        <v>511</v>
      </c>
      <c r="D95" s="252"/>
      <c r="E95" s="252"/>
      <c r="F95" s="252"/>
      <c r="G95" s="252"/>
      <c r="H95" s="252">
        <v>16</v>
      </c>
      <c r="I95" s="192" t="s">
        <v>17</v>
      </c>
      <c r="J95" s="192" t="s">
        <v>443</v>
      </c>
      <c r="K95" s="192" t="s">
        <v>5</v>
      </c>
      <c r="L95" s="192" t="s">
        <v>6</v>
      </c>
      <c r="M95" s="192" t="s">
        <v>509</v>
      </c>
      <c r="N95" s="251" t="s">
        <v>422</v>
      </c>
      <c r="O95" s="210"/>
      <c r="P95" s="210" t="s">
        <v>7</v>
      </c>
      <c r="Q95" s="210"/>
      <c r="R95" s="285"/>
      <c r="S95" s="193" t="s">
        <v>80</v>
      </c>
      <c r="T95" s="212">
        <v>1</v>
      </c>
      <c r="U95" s="215">
        <v>4208</v>
      </c>
      <c r="V95" s="278">
        <v>4080</v>
      </c>
      <c r="W95" s="278">
        <v>3825</v>
      </c>
      <c r="X95" s="278">
        <v>3596</v>
      </c>
      <c r="Y95" s="5"/>
      <c r="Z95" s="216">
        <f t="shared" si="6"/>
        <v>0</v>
      </c>
      <c r="AA95" s="255">
        <f t="shared" si="7"/>
        <v>0</v>
      </c>
      <c r="AB95" s="194"/>
      <c r="AC95" s="195"/>
      <c r="AD95" s="196"/>
      <c r="AE95" s="196"/>
      <c r="AF95" s="168"/>
    </row>
    <row r="96" spans="2:32" s="169" customFormat="1">
      <c r="B96" s="239"/>
      <c r="C96" s="167" t="s">
        <v>512</v>
      </c>
      <c r="D96" s="252"/>
      <c r="E96" s="252"/>
      <c r="F96" s="252"/>
      <c r="G96" s="252"/>
      <c r="H96" s="252">
        <v>17</v>
      </c>
      <c r="I96" s="192" t="s">
        <v>17</v>
      </c>
      <c r="J96" s="192" t="s">
        <v>443</v>
      </c>
      <c r="K96" s="192" t="s">
        <v>5</v>
      </c>
      <c r="L96" s="192" t="s">
        <v>6</v>
      </c>
      <c r="M96" s="192" t="s">
        <v>509</v>
      </c>
      <c r="N96" s="251" t="s">
        <v>422</v>
      </c>
      <c r="O96" s="210"/>
      <c r="P96" s="210" t="s">
        <v>14</v>
      </c>
      <c r="Q96" s="210"/>
      <c r="R96" s="285"/>
      <c r="S96" s="193" t="s">
        <v>80</v>
      </c>
      <c r="T96" s="212">
        <v>1</v>
      </c>
      <c r="U96" s="215">
        <v>4950</v>
      </c>
      <c r="V96" s="278">
        <v>4800</v>
      </c>
      <c r="W96" s="278">
        <v>4500</v>
      </c>
      <c r="X96" s="278">
        <v>4230</v>
      </c>
      <c r="Y96" s="5"/>
      <c r="Z96" s="216">
        <f t="shared" si="6"/>
        <v>0</v>
      </c>
      <c r="AA96" s="255">
        <f t="shared" si="7"/>
        <v>0</v>
      </c>
      <c r="AB96" s="194"/>
      <c r="AC96" s="195"/>
      <c r="AD96" s="196"/>
      <c r="AE96" s="196"/>
      <c r="AF96" s="168"/>
    </row>
    <row r="97" spans="2:32" s="169" customFormat="1">
      <c r="B97" s="239"/>
      <c r="C97" s="167" t="s">
        <v>513</v>
      </c>
      <c r="D97" s="252"/>
      <c r="E97" s="252"/>
      <c r="F97" s="252"/>
      <c r="G97" s="252"/>
      <c r="H97" s="252">
        <v>119</v>
      </c>
      <c r="I97" s="192" t="s">
        <v>17</v>
      </c>
      <c r="J97" s="192" t="s">
        <v>443</v>
      </c>
      <c r="K97" s="192" t="s">
        <v>5</v>
      </c>
      <c r="L97" s="192" t="s">
        <v>6</v>
      </c>
      <c r="M97" s="192" t="s">
        <v>509</v>
      </c>
      <c r="N97" s="251" t="s">
        <v>422</v>
      </c>
      <c r="O97" s="210"/>
      <c r="P97" s="210" t="s">
        <v>38</v>
      </c>
      <c r="Q97" s="210"/>
      <c r="R97" s="285"/>
      <c r="S97" s="193" t="s">
        <v>80</v>
      </c>
      <c r="T97" s="212">
        <v>1</v>
      </c>
      <c r="U97" s="215">
        <v>5775</v>
      </c>
      <c r="V97" s="278">
        <v>5600</v>
      </c>
      <c r="W97" s="278">
        <v>5250</v>
      </c>
      <c r="X97" s="278">
        <v>4935</v>
      </c>
      <c r="Y97" s="5"/>
      <c r="Z97" s="216">
        <f t="shared" si="6"/>
        <v>0</v>
      </c>
      <c r="AA97" s="255">
        <f t="shared" si="7"/>
        <v>0</v>
      </c>
      <c r="AB97" s="194"/>
      <c r="AC97" s="195"/>
      <c r="AD97" s="196"/>
      <c r="AE97" s="196"/>
      <c r="AF97" s="168"/>
    </row>
    <row r="98" spans="2:32" s="169" customFormat="1">
      <c r="B98" s="239"/>
      <c r="C98" s="167" t="s">
        <v>514</v>
      </c>
      <c r="D98" s="252"/>
      <c r="E98" s="252"/>
      <c r="F98" s="252"/>
      <c r="G98" s="252"/>
      <c r="H98" s="252">
        <v>56</v>
      </c>
      <c r="I98" s="192" t="s">
        <v>17</v>
      </c>
      <c r="J98" s="192" t="s">
        <v>443</v>
      </c>
      <c r="K98" s="192" t="s">
        <v>5</v>
      </c>
      <c r="L98" s="192" t="s">
        <v>6</v>
      </c>
      <c r="M98" s="192" t="s">
        <v>509</v>
      </c>
      <c r="N98" s="251" t="s">
        <v>422</v>
      </c>
      <c r="O98" s="210"/>
      <c r="P98" s="210" t="s">
        <v>33</v>
      </c>
      <c r="Q98" s="210"/>
      <c r="R98" s="285"/>
      <c r="S98" s="193" t="s">
        <v>80</v>
      </c>
      <c r="T98" s="212">
        <v>1</v>
      </c>
      <c r="U98" s="215">
        <v>6584</v>
      </c>
      <c r="V98" s="278">
        <v>6384</v>
      </c>
      <c r="W98" s="278">
        <v>5985</v>
      </c>
      <c r="X98" s="278">
        <v>5626</v>
      </c>
      <c r="Y98" s="5"/>
      <c r="Z98" s="216">
        <f t="shared" si="6"/>
        <v>0</v>
      </c>
      <c r="AA98" s="255">
        <f t="shared" si="7"/>
        <v>0</v>
      </c>
      <c r="AB98" s="194"/>
      <c r="AC98" s="195"/>
      <c r="AD98" s="196"/>
      <c r="AE98" s="196"/>
      <c r="AF98" s="168"/>
    </row>
    <row r="99" spans="2:32" s="169" customFormat="1">
      <c r="B99" s="239"/>
      <c r="C99" s="167" t="s">
        <v>284</v>
      </c>
      <c r="D99" s="252"/>
      <c r="E99" s="252"/>
      <c r="F99" s="252"/>
      <c r="G99" s="252"/>
      <c r="H99" s="252">
        <v>1</v>
      </c>
      <c r="I99" s="192" t="s">
        <v>17</v>
      </c>
      <c r="J99" s="192" t="s">
        <v>443</v>
      </c>
      <c r="K99" s="192" t="s">
        <v>53</v>
      </c>
      <c r="L99" s="192" t="s">
        <v>52</v>
      </c>
      <c r="M99" s="192"/>
      <c r="N99" s="251" t="s">
        <v>422</v>
      </c>
      <c r="O99" s="210" t="s">
        <v>58</v>
      </c>
      <c r="P99" s="288"/>
      <c r="Q99" s="288"/>
      <c r="R99" s="292" t="s">
        <v>475</v>
      </c>
      <c r="S99" s="193" t="s">
        <v>80</v>
      </c>
      <c r="T99" s="212">
        <v>1</v>
      </c>
      <c r="U99" s="215">
        <v>3876</v>
      </c>
      <c r="V99" s="278">
        <v>3759</v>
      </c>
      <c r="W99" s="278">
        <v>3524</v>
      </c>
      <c r="X99" s="278">
        <v>3313</v>
      </c>
      <c r="Y99" s="5"/>
      <c r="Z99" s="216">
        <f t="shared" si="6"/>
        <v>0</v>
      </c>
      <c r="AA99" s="255">
        <f t="shared" si="7"/>
        <v>0</v>
      </c>
      <c r="AB99" s="194"/>
      <c r="AC99" s="195"/>
      <c r="AD99" s="196"/>
      <c r="AE99" s="196"/>
      <c r="AF99" s="168" t="str">
        <f t="shared" ref="AF99:AF104" si="8">IF(Y99/T99=0,"",IF(MOD(Y99,T99)&gt;0,"ОШИБКА!!! неверная кратность на сорт",""))</f>
        <v/>
      </c>
    </row>
    <row r="100" spans="2:32" s="169" customFormat="1">
      <c r="B100" s="239"/>
      <c r="C100" s="167" t="s">
        <v>167</v>
      </c>
      <c r="D100" s="252"/>
      <c r="E100" s="252"/>
      <c r="F100" s="252"/>
      <c r="G100" s="252"/>
      <c r="H100" s="252"/>
      <c r="I100" s="192" t="s">
        <v>17</v>
      </c>
      <c r="J100" s="287" t="s">
        <v>443</v>
      </c>
      <c r="K100" s="287" t="s">
        <v>53</v>
      </c>
      <c r="L100" s="287" t="s">
        <v>52</v>
      </c>
      <c r="M100" s="287"/>
      <c r="N100" s="291" t="s">
        <v>422</v>
      </c>
      <c r="O100" s="288" t="s">
        <v>411</v>
      </c>
      <c r="P100" s="289"/>
      <c r="Q100" s="288"/>
      <c r="R100" s="292" t="s">
        <v>475</v>
      </c>
      <c r="S100" s="193" t="s">
        <v>80</v>
      </c>
      <c r="T100" s="212">
        <v>1</v>
      </c>
      <c r="U100" s="215">
        <v>4488</v>
      </c>
      <c r="V100" s="278">
        <v>4352</v>
      </c>
      <c r="W100" s="278">
        <v>4080</v>
      </c>
      <c r="X100" s="278">
        <v>3836</v>
      </c>
      <c r="Y100" s="5"/>
      <c r="Z100" s="216">
        <f t="shared" si="6"/>
        <v>0</v>
      </c>
      <c r="AA100" s="255">
        <f t="shared" si="7"/>
        <v>0</v>
      </c>
      <c r="AB100" s="194" t="s">
        <v>305</v>
      </c>
      <c r="AC100" s="195"/>
      <c r="AD100" s="196"/>
      <c r="AE100" s="196"/>
      <c r="AF100" s="168" t="str">
        <f t="shared" si="8"/>
        <v/>
      </c>
    </row>
    <row r="101" spans="2:32" s="169" customFormat="1">
      <c r="B101" s="239"/>
      <c r="C101" s="167" t="s">
        <v>330</v>
      </c>
      <c r="D101" s="252"/>
      <c r="E101" s="252"/>
      <c r="F101" s="252"/>
      <c r="G101" s="252"/>
      <c r="H101" s="252">
        <v>3</v>
      </c>
      <c r="I101" s="192" t="s">
        <v>17</v>
      </c>
      <c r="J101" s="192" t="s">
        <v>443</v>
      </c>
      <c r="K101" s="192" t="s">
        <v>53</v>
      </c>
      <c r="L101" s="192" t="s">
        <v>52</v>
      </c>
      <c r="M101" s="192"/>
      <c r="N101" s="251" t="s">
        <v>422</v>
      </c>
      <c r="O101" s="210" t="s">
        <v>412</v>
      </c>
      <c r="P101" s="289"/>
      <c r="Q101" s="288"/>
      <c r="R101" s="292" t="s">
        <v>475</v>
      </c>
      <c r="S101" s="193" t="s">
        <v>80</v>
      </c>
      <c r="T101" s="212">
        <v>1</v>
      </c>
      <c r="U101" s="215">
        <v>4950</v>
      </c>
      <c r="V101" s="278">
        <v>4800</v>
      </c>
      <c r="W101" s="278">
        <v>4500</v>
      </c>
      <c r="X101" s="278">
        <v>4230</v>
      </c>
      <c r="Y101" s="5"/>
      <c r="Z101" s="216">
        <f t="shared" si="6"/>
        <v>0</v>
      </c>
      <c r="AA101" s="255">
        <f t="shared" si="7"/>
        <v>0</v>
      </c>
      <c r="AB101" s="194"/>
      <c r="AC101" s="195"/>
      <c r="AD101" s="196"/>
      <c r="AE101" s="196"/>
      <c r="AF101" s="168" t="str">
        <f t="shared" si="8"/>
        <v/>
      </c>
    </row>
    <row r="102" spans="2:32" s="169" customFormat="1">
      <c r="B102" s="239"/>
      <c r="C102" s="167" t="s">
        <v>331</v>
      </c>
      <c r="D102" s="252"/>
      <c r="E102" s="252"/>
      <c r="F102" s="252"/>
      <c r="G102" s="252"/>
      <c r="H102" s="252">
        <v>28</v>
      </c>
      <c r="I102" s="192" t="s">
        <v>17</v>
      </c>
      <c r="J102" s="192" t="s">
        <v>443</v>
      </c>
      <c r="K102" s="192" t="s">
        <v>53</v>
      </c>
      <c r="L102" s="192" t="s">
        <v>52</v>
      </c>
      <c r="M102" s="192"/>
      <c r="N102" s="251" t="s">
        <v>422</v>
      </c>
      <c r="O102" s="210" t="s">
        <v>407</v>
      </c>
      <c r="P102" s="289"/>
      <c r="Q102" s="288"/>
      <c r="R102" s="292" t="s">
        <v>475</v>
      </c>
      <c r="S102" s="193" t="s">
        <v>80</v>
      </c>
      <c r="T102" s="212">
        <v>1</v>
      </c>
      <c r="U102" s="215">
        <v>5940</v>
      </c>
      <c r="V102" s="278">
        <v>5760</v>
      </c>
      <c r="W102" s="278">
        <v>5400</v>
      </c>
      <c r="X102" s="278">
        <v>5076</v>
      </c>
      <c r="Y102" s="5"/>
      <c r="Z102" s="216">
        <f t="shared" si="6"/>
        <v>0</v>
      </c>
      <c r="AA102" s="255">
        <f t="shared" si="7"/>
        <v>0</v>
      </c>
      <c r="AB102" s="194"/>
      <c r="AC102" s="195"/>
      <c r="AD102" s="196"/>
      <c r="AE102" s="196"/>
      <c r="AF102" s="168" t="str">
        <f t="shared" si="8"/>
        <v/>
      </c>
    </row>
    <row r="103" spans="2:32" s="169" customFormat="1">
      <c r="B103" s="239"/>
      <c r="C103" s="167" t="s">
        <v>332</v>
      </c>
      <c r="D103" s="252">
        <v>9</v>
      </c>
      <c r="E103" s="252"/>
      <c r="F103" s="252"/>
      <c r="G103" s="252">
        <v>1</v>
      </c>
      <c r="H103" s="252">
        <v>30</v>
      </c>
      <c r="I103" s="192" t="s">
        <v>17</v>
      </c>
      <c r="J103" s="192" t="s">
        <v>443</v>
      </c>
      <c r="K103" s="192" t="s">
        <v>53</v>
      </c>
      <c r="L103" s="192" t="s">
        <v>52</v>
      </c>
      <c r="M103" s="192"/>
      <c r="N103" s="251" t="s">
        <v>422</v>
      </c>
      <c r="O103" s="210" t="s">
        <v>413</v>
      </c>
      <c r="P103" s="211"/>
      <c r="Q103" s="210"/>
      <c r="R103" s="292" t="s">
        <v>475</v>
      </c>
      <c r="S103" s="193" t="s">
        <v>80</v>
      </c>
      <c r="T103" s="212">
        <v>1</v>
      </c>
      <c r="U103" s="215">
        <v>7920</v>
      </c>
      <c r="V103" s="278">
        <v>7680</v>
      </c>
      <c r="W103" s="278">
        <v>7200</v>
      </c>
      <c r="X103" s="278">
        <v>6768</v>
      </c>
      <c r="Y103" s="5"/>
      <c r="Z103" s="216">
        <f t="shared" si="6"/>
        <v>0</v>
      </c>
      <c r="AA103" s="255">
        <f t="shared" si="7"/>
        <v>0</v>
      </c>
      <c r="AB103" s="194"/>
      <c r="AC103" s="195"/>
      <c r="AD103" s="196"/>
      <c r="AE103" s="196"/>
      <c r="AF103" s="168" t="str">
        <f t="shared" si="8"/>
        <v/>
      </c>
    </row>
    <row r="104" spans="2:32" s="169" customFormat="1">
      <c r="B104" s="239"/>
      <c r="C104" s="167" t="s">
        <v>333</v>
      </c>
      <c r="D104" s="252"/>
      <c r="E104" s="252"/>
      <c r="F104" s="252"/>
      <c r="G104" s="252"/>
      <c r="H104" s="252">
        <v>11</v>
      </c>
      <c r="I104" s="192" t="s">
        <v>17</v>
      </c>
      <c r="J104" s="192" t="s">
        <v>443</v>
      </c>
      <c r="K104" s="192" t="s">
        <v>53</v>
      </c>
      <c r="L104" s="192" t="s">
        <v>52</v>
      </c>
      <c r="M104" s="192"/>
      <c r="N104" s="251" t="s">
        <v>422</v>
      </c>
      <c r="O104" s="210" t="s">
        <v>408</v>
      </c>
      <c r="P104" s="289"/>
      <c r="Q104" s="288"/>
      <c r="R104" s="292" t="s">
        <v>475</v>
      </c>
      <c r="S104" s="193" t="s">
        <v>80</v>
      </c>
      <c r="T104" s="212">
        <v>1</v>
      </c>
      <c r="U104" s="215">
        <v>9900</v>
      </c>
      <c r="V104" s="278">
        <v>9600</v>
      </c>
      <c r="W104" s="278">
        <v>9000</v>
      </c>
      <c r="X104" s="278">
        <v>8460</v>
      </c>
      <c r="Y104" s="5"/>
      <c r="Z104" s="216">
        <f t="shared" si="6"/>
        <v>0</v>
      </c>
      <c r="AA104" s="255">
        <f t="shared" si="7"/>
        <v>0</v>
      </c>
      <c r="AB104" s="194"/>
      <c r="AC104" s="195"/>
      <c r="AD104" s="196"/>
      <c r="AE104" s="196"/>
      <c r="AF104" s="168" t="str">
        <f t="shared" si="8"/>
        <v/>
      </c>
    </row>
    <row r="105" spans="2:32" s="169" customFormat="1">
      <c r="B105" s="239"/>
      <c r="C105" s="167" t="s">
        <v>479</v>
      </c>
      <c r="D105" s="252"/>
      <c r="E105" s="252"/>
      <c r="F105" s="252"/>
      <c r="G105" s="252"/>
      <c r="H105" s="252">
        <v>7</v>
      </c>
      <c r="I105" s="192" t="s">
        <v>17</v>
      </c>
      <c r="J105" s="192" t="s">
        <v>443</v>
      </c>
      <c r="K105" s="192" t="s">
        <v>53</v>
      </c>
      <c r="L105" s="192" t="s">
        <v>52</v>
      </c>
      <c r="M105" s="192"/>
      <c r="N105" s="251" t="s">
        <v>422</v>
      </c>
      <c r="O105" s="210" t="s">
        <v>458</v>
      </c>
      <c r="P105" s="289"/>
      <c r="Q105" s="288"/>
      <c r="R105" s="292" t="s">
        <v>475</v>
      </c>
      <c r="S105" s="193" t="s">
        <v>80</v>
      </c>
      <c r="T105" s="212">
        <v>1</v>
      </c>
      <c r="U105" s="215">
        <v>10808</v>
      </c>
      <c r="V105" s="278">
        <v>10480</v>
      </c>
      <c r="W105" s="278">
        <v>9825</v>
      </c>
      <c r="X105" s="278">
        <v>9236</v>
      </c>
      <c r="Y105" s="5"/>
      <c r="Z105" s="216">
        <f t="shared" si="6"/>
        <v>0</v>
      </c>
      <c r="AA105" s="255">
        <f t="shared" si="7"/>
        <v>0</v>
      </c>
      <c r="AB105" s="194"/>
      <c r="AC105" s="195"/>
      <c r="AD105" s="196"/>
      <c r="AE105" s="196"/>
      <c r="AF105" s="168"/>
    </row>
    <row r="106" spans="2:32" s="169" customFormat="1">
      <c r="B106" s="239"/>
      <c r="C106" s="167" t="s">
        <v>480</v>
      </c>
      <c r="D106" s="252"/>
      <c r="E106" s="252"/>
      <c r="F106" s="252"/>
      <c r="G106" s="252"/>
      <c r="H106" s="252">
        <v>4</v>
      </c>
      <c r="I106" s="192" t="s">
        <v>17</v>
      </c>
      <c r="J106" s="192" t="s">
        <v>443</v>
      </c>
      <c r="K106" s="192" t="s">
        <v>53</v>
      </c>
      <c r="L106" s="192" t="s">
        <v>52</v>
      </c>
      <c r="M106" s="192"/>
      <c r="N106" s="251" t="s">
        <v>422</v>
      </c>
      <c r="O106" s="210" t="s">
        <v>478</v>
      </c>
      <c r="P106" s="289"/>
      <c r="Q106" s="288"/>
      <c r="R106" s="292" t="s">
        <v>475</v>
      </c>
      <c r="S106" s="193" t="s">
        <v>80</v>
      </c>
      <c r="T106" s="212">
        <v>1</v>
      </c>
      <c r="U106" s="215">
        <v>11699</v>
      </c>
      <c r="V106" s="278">
        <v>11344</v>
      </c>
      <c r="W106" s="278">
        <v>10635</v>
      </c>
      <c r="X106" s="278">
        <v>9997</v>
      </c>
      <c r="Y106" s="5"/>
      <c r="Z106" s="216">
        <f t="shared" si="6"/>
        <v>0</v>
      </c>
      <c r="AA106" s="255">
        <f t="shared" si="7"/>
        <v>0</v>
      </c>
      <c r="AB106" s="194"/>
      <c r="AC106" s="195"/>
      <c r="AD106" s="196"/>
      <c r="AE106" s="196"/>
      <c r="AF106" s="168"/>
    </row>
    <row r="107" spans="2:32" s="169" customFormat="1">
      <c r="B107" s="239"/>
      <c r="C107" s="167" t="s">
        <v>169</v>
      </c>
      <c r="D107" s="252">
        <v>0</v>
      </c>
      <c r="E107" s="252"/>
      <c r="F107" s="252"/>
      <c r="G107" s="252">
        <v>3</v>
      </c>
      <c r="H107" s="252"/>
      <c r="I107" s="192" t="s">
        <v>17</v>
      </c>
      <c r="J107" s="192" t="s">
        <v>443</v>
      </c>
      <c r="K107" s="192" t="s">
        <v>141</v>
      </c>
      <c r="L107" s="192" t="s">
        <v>168</v>
      </c>
      <c r="M107" s="192"/>
      <c r="N107" s="251" t="s">
        <v>422</v>
      </c>
      <c r="O107" s="210" t="s">
        <v>58</v>
      </c>
      <c r="P107" s="210"/>
      <c r="Q107" s="210"/>
      <c r="R107" s="265"/>
      <c r="S107" s="193" t="s">
        <v>80</v>
      </c>
      <c r="T107" s="212">
        <v>1</v>
      </c>
      <c r="U107" s="215">
        <v>13257</v>
      </c>
      <c r="V107" s="278">
        <v>12855</v>
      </c>
      <c r="W107" s="278">
        <v>12051</v>
      </c>
      <c r="X107" s="278">
        <v>11328</v>
      </c>
      <c r="Y107" s="5"/>
      <c r="Z107" s="216">
        <f t="shared" si="6"/>
        <v>0</v>
      </c>
      <c r="AA107" s="255">
        <f t="shared" si="7"/>
        <v>0</v>
      </c>
      <c r="AB107" s="194"/>
      <c r="AC107" s="195"/>
      <c r="AD107" s="196"/>
      <c r="AE107" s="196"/>
      <c r="AF107" s="168" t="str">
        <f>IF(Y107/T107=0,"",IF(MOD(Y107,T107)&gt;0,"ОШИБКА!!! неверная кратность на сорт",""))</f>
        <v/>
      </c>
    </row>
    <row r="108" spans="2:32" s="169" customFormat="1">
      <c r="B108" s="239"/>
      <c r="C108" s="167" t="s">
        <v>170</v>
      </c>
      <c r="D108" s="252">
        <v>0</v>
      </c>
      <c r="E108" s="252"/>
      <c r="F108" s="252"/>
      <c r="G108" s="252">
        <v>1</v>
      </c>
      <c r="H108" s="252"/>
      <c r="I108" s="192" t="s">
        <v>17</v>
      </c>
      <c r="J108" s="192" t="s">
        <v>443</v>
      </c>
      <c r="K108" s="192" t="s">
        <v>141</v>
      </c>
      <c r="L108" s="192" t="s">
        <v>168</v>
      </c>
      <c r="M108" s="192"/>
      <c r="N108" s="251" t="s">
        <v>422</v>
      </c>
      <c r="O108" s="210" t="s">
        <v>411</v>
      </c>
      <c r="P108" s="211"/>
      <c r="Q108" s="210"/>
      <c r="R108" s="265"/>
      <c r="S108" s="193" t="s">
        <v>80</v>
      </c>
      <c r="T108" s="212">
        <v>1</v>
      </c>
      <c r="U108" s="215">
        <v>14276</v>
      </c>
      <c r="V108" s="278">
        <v>13844</v>
      </c>
      <c r="W108" s="278">
        <v>12978</v>
      </c>
      <c r="X108" s="278">
        <v>12200</v>
      </c>
      <c r="Y108" s="5"/>
      <c r="Z108" s="216">
        <f t="shared" si="6"/>
        <v>0</v>
      </c>
      <c r="AA108" s="255">
        <f t="shared" si="7"/>
        <v>0</v>
      </c>
      <c r="AB108" s="194"/>
      <c r="AC108" s="195"/>
      <c r="AD108" s="196"/>
      <c r="AE108" s="196"/>
      <c r="AF108" s="168" t="str">
        <f>IF(Y108/T108=0,"",IF(MOD(Y108,T108)&gt;0,"ОШИБКА!!! неверная кратность на сорт",""))</f>
        <v/>
      </c>
    </row>
    <row r="109" spans="2:32" s="169" customFormat="1">
      <c r="B109" s="239"/>
      <c r="C109" s="167" t="s">
        <v>334</v>
      </c>
      <c r="D109" s="252"/>
      <c r="E109" s="252"/>
      <c r="F109" s="252"/>
      <c r="G109" s="252"/>
      <c r="H109" s="252"/>
      <c r="I109" s="192" t="s">
        <v>17</v>
      </c>
      <c r="J109" s="287" t="s">
        <v>443</v>
      </c>
      <c r="K109" s="287" t="s">
        <v>141</v>
      </c>
      <c r="L109" s="287" t="s">
        <v>168</v>
      </c>
      <c r="M109" s="287"/>
      <c r="N109" s="291" t="s">
        <v>422</v>
      </c>
      <c r="O109" s="288" t="s">
        <v>407</v>
      </c>
      <c r="P109" s="289"/>
      <c r="Q109" s="288"/>
      <c r="R109" s="265"/>
      <c r="S109" s="193" t="s">
        <v>80</v>
      </c>
      <c r="T109" s="212">
        <v>1</v>
      </c>
      <c r="U109" s="215">
        <v>15840</v>
      </c>
      <c r="V109" s="278">
        <v>15360</v>
      </c>
      <c r="W109" s="278">
        <v>14400</v>
      </c>
      <c r="X109" s="278">
        <v>13536</v>
      </c>
      <c r="Y109" s="5"/>
      <c r="Z109" s="216">
        <f t="shared" si="6"/>
        <v>0</v>
      </c>
      <c r="AA109" s="255">
        <f t="shared" si="7"/>
        <v>0</v>
      </c>
      <c r="AB109" s="194" t="s">
        <v>305</v>
      </c>
      <c r="AC109" s="195"/>
      <c r="AD109" s="196"/>
      <c r="AE109" s="196"/>
      <c r="AF109" s="168" t="str">
        <f>IF(Y109/T109=0,"",IF(MOD(Y109,T109)&gt;0,"ОШИБКА!!! неверная кратность на сорт",""))</f>
        <v/>
      </c>
    </row>
    <row r="110" spans="2:32" s="169" customFormat="1">
      <c r="B110" s="239"/>
      <c r="C110" s="167" t="s">
        <v>335</v>
      </c>
      <c r="D110" s="252"/>
      <c r="E110" s="252"/>
      <c r="F110" s="252"/>
      <c r="G110" s="252"/>
      <c r="H110" s="252"/>
      <c r="I110" s="192" t="s">
        <v>17</v>
      </c>
      <c r="J110" s="287" t="s">
        <v>443</v>
      </c>
      <c r="K110" s="287" t="s">
        <v>141</v>
      </c>
      <c r="L110" s="287" t="s">
        <v>168</v>
      </c>
      <c r="M110" s="287"/>
      <c r="N110" s="291" t="s">
        <v>422</v>
      </c>
      <c r="O110" s="288" t="s">
        <v>413</v>
      </c>
      <c r="P110" s="289"/>
      <c r="Q110" s="288"/>
      <c r="R110" s="265"/>
      <c r="S110" s="193" t="s">
        <v>80</v>
      </c>
      <c r="T110" s="212">
        <v>1</v>
      </c>
      <c r="U110" s="215">
        <v>18810</v>
      </c>
      <c r="V110" s="278">
        <v>18240</v>
      </c>
      <c r="W110" s="278">
        <v>17100</v>
      </c>
      <c r="X110" s="278">
        <v>16074</v>
      </c>
      <c r="Y110" s="5"/>
      <c r="Z110" s="216">
        <f t="shared" si="6"/>
        <v>0</v>
      </c>
      <c r="AA110" s="255">
        <f t="shared" si="7"/>
        <v>0</v>
      </c>
      <c r="AB110" s="194" t="s">
        <v>305</v>
      </c>
      <c r="AC110" s="195"/>
      <c r="AD110" s="196"/>
      <c r="AE110" s="196"/>
      <c r="AF110" s="168" t="str">
        <f>IF(Y110/T110=0,"",IF(MOD(Y110,T110)&gt;0,"ОШИБКА!!! неверная кратность на сорт",""))</f>
        <v/>
      </c>
    </row>
    <row r="111" spans="2:32" s="169" customFormat="1">
      <c r="B111" s="239"/>
      <c r="C111" s="167" t="s">
        <v>336</v>
      </c>
      <c r="D111" s="252"/>
      <c r="E111" s="252"/>
      <c r="F111" s="252"/>
      <c r="G111" s="252"/>
      <c r="H111" s="252">
        <v>4</v>
      </c>
      <c r="I111" s="192" t="s">
        <v>17</v>
      </c>
      <c r="J111" s="192" t="s">
        <v>443</v>
      </c>
      <c r="K111" s="192" t="s">
        <v>141</v>
      </c>
      <c r="L111" s="192" t="s">
        <v>168</v>
      </c>
      <c r="M111" s="192"/>
      <c r="N111" s="251" t="s">
        <v>422</v>
      </c>
      <c r="O111" s="210" t="s">
        <v>408</v>
      </c>
      <c r="P111" s="289"/>
      <c r="Q111" s="288"/>
      <c r="R111" s="265"/>
      <c r="S111" s="193" t="s">
        <v>80</v>
      </c>
      <c r="T111" s="212">
        <v>1</v>
      </c>
      <c r="U111" s="215">
        <v>19800</v>
      </c>
      <c r="V111" s="278">
        <v>19200</v>
      </c>
      <c r="W111" s="278">
        <v>18000</v>
      </c>
      <c r="X111" s="278">
        <v>16920</v>
      </c>
      <c r="Y111" s="5"/>
      <c r="Z111" s="216">
        <f t="shared" si="6"/>
        <v>0</v>
      </c>
      <c r="AA111" s="255">
        <f t="shared" si="7"/>
        <v>0</v>
      </c>
      <c r="AB111" s="194"/>
      <c r="AC111" s="195"/>
      <c r="AD111" s="196"/>
      <c r="AE111" s="196"/>
      <c r="AF111" s="168" t="str">
        <f>IF(Y111/T111=0,"",IF(MOD(Y111,T111)&gt;0,"ОШИБКА!!! неверная кратность на сорт",""))</f>
        <v/>
      </c>
    </row>
    <row r="112" spans="2:32" s="169" customFormat="1">
      <c r="B112" s="239"/>
      <c r="C112" s="167" t="s">
        <v>481</v>
      </c>
      <c r="D112" s="252"/>
      <c r="E112" s="252"/>
      <c r="F112" s="252"/>
      <c r="G112" s="252"/>
      <c r="H112" s="252">
        <v>1</v>
      </c>
      <c r="I112" s="192" t="s">
        <v>17</v>
      </c>
      <c r="J112" s="192" t="s">
        <v>443</v>
      </c>
      <c r="K112" s="192" t="s">
        <v>141</v>
      </c>
      <c r="L112" s="192" t="s">
        <v>168</v>
      </c>
      <c r="M112" s="192"/>
      <c r="N112" s="251" t="s">
        <v>422</v>
      </c>
      <c r="O112" s="210" t="s">
        <v>458</v>
      </c>
      <c r="P112" s="289"/>
      <c r="Q112" s="288"/>
      <c r="R112" s="265"/>
      <c r="S112" s="193" t="s">
        <v>80</v>
      </c>
      <c r="T112" s="212">
        <v>1</v>
      </c>
      <c r="U112" s="215">
        <v>20625</v>
      </c>
      <c r="V112" s="278">
        <v>20000</v>
      </c>
      <c r="W112" s="278">
        <v>18750</v>
      </c>
      <c r="X112" s="278">
        <v>17625</v>
      </c>
      <c r="Y112" s="5"/>
      <c r="Z112" s="216">
        <f t="shared" si="6"/>
        <v>0</v>
      </c>
      <c r="AA112" s="255">
        <f t="shared" si="7"/>
        <v>0</v>
      </c>
      <c r="AB112" s="194"/>
      <c r="AC112" s="195"/>
      <c r="AD112" s="196"/>
      <c r="AE112" s="196"/>
      <c r="AF112" s="168"/>
    </row>
    <row r="113" spans="2:32" s="169" customFormat="1">
      <c r="B113" s="239"/>
      <c r="C113" s="167" t="s">
        <v>482</v>
      </c>
      <c r="D113" s="252"/>
      <c r="E113" s="252"/>
      <c r="F113" s="252"/>
      <c r="G113" s="252"/>
      <c r="H113" s="252">
        <v>22</v>
      </c>
      <c r="I113" s="192" t="s">
        <v>17</v>
      </c>
      <c r="J113" s="192" t="s">
        <v>443</v>
      </c>
      <c r="K113" s="192" t="s">
        <v>141</v>
      </c>
      <c r="L113" s="192" t="s">
        <v>168</v>
      </c>
      <c r="M113" s="192"/>
      <c r="N113" s="251" t="s">
        <v>422</v>
      </c>
      <c r="O113" s="210" t="s">
        <v>409</v>
      </c>
      <c r="P113" s="289"/>
      <c r="Q113" s="288"/>
      <c r="R113" s="265"/>
      <c r="S113" s="193" t="s">
        <v>80</v>
      </c>
      <c r="T113" s="212">
        <v>1</v>
      </c>
      <c r="U113" s="215">
        <v>21434</v>
      </c>
      <c r="V113" s="278">
        <v>20784</v>
      </c>
      <c r="W113" s="278">
        <v>19485</v>
      </c>
      <c r="X113" s="278">
        <v>18316</v>
      </c>
      <c r="Y113" s="5"/>
      <c r="Z113" s="216">
        <f t="shared" si="6"/>
        <v>0</v>
      </c>
      <c r="AA113" s="255">
        <f t="shared" si="7"/>
        <v>0</v>
      </c>
      <c r="AB113" s="194"/>
      <c r="AC113" s="195"/>
      <c r="AD113" s="196"/>
      <c r="AE113" s="196"/>
      <c r="AF113" s="168"/>
    </row>
    <row r="114" spans="2:32" s="169" customFormat="1">
      <c r="B114" s="239"/>
      <c r="C114" s="167" t="s">
        <v>483</v>
      </c>
      <c r="D114" s="252"/>
      <c r="E114" s="252"/>
      <c r="F114" s="252"/>
      <c r="G114" s="252"/>
      <c r="H114" s="252">
        <v>7</v>
      </c>
      <c r="I114" s="192" t="s">
        <v>17</v>
      </c>
      <c r="J114" s="192" t="s">
        <v>443</v>
      </c>
      <c r="K114" s="192" t="s">
        <v>141</v>
      </c>
      <c r="L114" s="192" t="s">
        <v>168</v>
      </c>
      <c r="M114" s="192"/>
      <c r="N114" s="251" t="s">
        <v>422</v>
      </c>
      <c r="O114" s="210" t="s">
        <v>478</v>
      </c>
      <c r="P114" s="289"/>
      <c r="Q114" s="288"/>
      <c r="R114" s="265"/>
      <c r="S114" s="193" t="s">
        <v>80</v>
      </c>
      <c r="T114" s="212">
        <v>1</v>
      </c>
      <c r="U114" s="215">
        <v>22193</v>
      </c>
      <c r="V114" s="278">
        <v>21520</v>
      </c>
      <c r="W114" s="278">
        <v>20175</v>
      </c>
      <c r="X114" s="278">
        <v>18965</v>
      </c>
      <c r="Y114" s="5"/>
      <c r="Z114" s="216">
        <f t="shared" si="6"/>
        <v>0</v>
      </c>
      <c r="AA114" s="255">
        <f t="shared" si="7"/>
        <v>0</v>
      </c>
      <c r="AB114" s="194"/>
      <c r="AC114" s="195"/>
      <c r="AD114" s="196"/>
      <c r="AE114" s="196"/>
      <c r="AF114" s="168"/>
    </row>
    <row r="115" spans="2:32" s="169" customFormat="1">
      <c r="B115" s="239"/>
      <c r="C115" s="167" t="s">
        <v>484</v>
      </c>
      <c r="D115" s="252"/>
      <c r="E115" s="252"/>
      <c r="F115" s="252"/>
      <c r="G115" s="252"/>
      <c r="H115" s="252">
        <v>5</v>
      </c>
      <c r="I115" s="192" t="s">
        <v>17</v>
      </c>
      <c r="J115" s="192" t="s">
        <v>443</v>
      </c>
      <c r="K115" s="192" t="s">
        <v>141</v>
      </c>
      <c r="L115" s="192" t="s">
        <v>168</v>
      </c>
      <c r="M115" s="192"/>
      <c r="N115" s="251" t="s">
        <v>422</v>
      </c>
      <c r="O115" s="210" t="s">
        <v>485</v>
      </c>
      <c r="P115" s="289"/>
      <c r="Q115" s="288"/>
      <c r="R115" s="265"/>
      <c r="S115" s="193" t="s">
        <v>80</v>
      </c>
      <c r="T115" s="212">
        <v>1</v>
      </c>
      <c r="U115" s="215">
        <v>22935</v>
      </c>
      <c r="V115" s="278">
        <v>22240</v>
      </c>
      <c r="W115" s="278">
        <v>20850</v>
      </c>
      <c r="X115" s="278">
        <v>19599</v>
      </c>
      <c r="Y115" s="5"/>
      <c r="Z115" s="216">
        <f t="shared" si="6"/>
        <v>0</v>
      </c>
      <c r="AA115" s="255">
        <f t="shared" si="7"/>
        <v>0</v>
      </c>
      <c r="AB115" s="194"/>
      <c r="AC115" s="195"/>
      <c r="AD115" s="196"/>
      <c r="AE115" s="196"/>
      <c r="AF115" s="168"/>
    </row>
    <row r="116" spans="2:32" s="169" customFormat="1">
      <c r="B116" s="239"/>
      <c r="C116" s="167" t="s">
        <v>515</v>
      </c>
      <c r="D116" s="252"/>
      <c r="E116" s="252"/>
      <c r="F116" s="252"/>
      <c r="G116" s="252"/>
      <c r="H116" s="252">
        <v>2</v>
      </c>
      <c r="I116" s="192" t="s">
        <v>17</v>
      </c>
      <c r="J116" s="192" t="s">
        <v>443</v>
      </c>
      <c r="K116" s="192" t="s">
        <v>8</v>
      </c>
      <c r="L116" s="192" t="s">
        <v>9</v>
      </c>
      <c r="M116" s="192" t="s">
        <v>54</v>
      </c>
      <c r="N116" s="251" t="s">
        <v>422</v>
      </c>
      <c r="O116" s="210" t="s">
        <v>33</v>
      </c>
      <c r="P116" s="289"/>
      <c r="Q116" s="288"/>
      <c r="R116" s="265"/>
      <c r="S116" s="193" t="s">
        <v>80</v>
      </c>
      <c r="T116" s="212">
        <v>1</v>
      </c>
      <c r="U116" s="215">
        <v>1764</v>
      </c>
      <c r="V116" s="278">
        <v>1711</v>
      </c>
      <c r="W116" s="278">
        <v>1604</v>
      </c>
      <c r="X116" s="278">
        <v>1508</v>
      </c>
      <c r="Y116" s="5"/>
      <c r="Z116" s="216">
        <f t="shared" si="6"/>
        <v>0</v>
      </c>
      <c r="AA116" s="255">
        <f t="shared" si="7"/>
        <v>0</v>
      </c>
      <c r="AB116" s="194"/>
      <c r="AC116" s="195"/>
      <c r="AD116" s="196"/>
      <c r="AE116" s="196"/>
      <c r="AF116" s="168"/>
    </row>
    <row r="117" spans="2:32" s="169" customFormat="1">
      <c r="B117" s="239"/>
      <c r="C117" s="167" t="s">
        <v>287</v>
      </c>
      <c r="D117" s="252">
        <v>4</v>
      </c>
      <c r="E117" s="252"/>
      <c r="F117" s="252"/>
      <c r="G117" s="252">
        <v>0</v>
      </c>
      <c r="H117" s="252">
        <v>10</v>
      </c>
      <c r="I117" s="192" t="s">
        <v>17</v>
      </c>
      <c r="J117" s="192" t="s">
        <v>443</v>
      </c>
      <c r="K117" s="192" t="s">
        <v>8</v>
      </c>
      <c r="L117" s="192" t="s">
        <v>9</v>
      </c>
      <c r="M117" s="192" t="s">
        <v>54</v>
      </c>
      <c r="N117" s="251" t="s">
        <v>422</v>
      </c>
      <c r="O117" s="210" t="s">
        <v>35</v>
      </c>
      <c r="P117" s="210"/>
      <c r="Q117" s="210"/>
      <c r="R117" s="265"/>
      <c r="S117" s="193" t="s">
        <v>80</v>
      </c>
      <c r="T117" s="212">
        <v>1</v>
      </c>
      <c r="U117" s="215">
        <v>1990</v>
      </c>
      <c r="V117" s="278">
        <v>1930</v>
      </c>
      <c r="W117" s="278">
        <v>1809</v>
      </c>
      <c r="X117" s="278">
        <v>1701</v>
      </c>
      <c r="Y117" s="5"/>
      <c r="Z117" s="216">
        <f t="shared" si="6"/>
        <v>0</v>
      </c>
      <c r="AA117" s="255">
        <f t="shared" si="7"/>
        <v>0</v>
      </c>
      <c r="AB117" s="194"/>
      <c r="AC117" s="195"/>
      <c r="AD117" s="196"/>
      <c r="AE117" s="196"/>
      <c r="AF117" s="168" t="str">
        <f t="shared" ref="AF117:AF123" si="9">IF(Y117/T117=0,"",IF(MOD(Y117,T117)&gt;0,"ОШИБКА!!! неверная кратность на сорт",""))</f>
        <v/>
      </c>
    </row>
    <row r="118" spans="2:32" s="169" customFormat="1">
      <c r="B118" s="239"/>
      <c r="C118" s="167" t="s">
        <v>385</v>
      </c>
      <c r="D118" s="252">
        <v>0</v>
      </c>
      <c r="E118" s="252"/>
      <c r="F118" s="252"/>
      <c r="G118" s="252">
        <v>5</v>
      </c>
      <c r="H118" s="252">
        <v>68</v>
      </c>
      <c r="I118" s="192" t="s">
        <v>17</v>
      </c>
      <c r="J118" s="192" t="s">
        <v>443</v>
      </c>
      <c r="K118" s="192" t="s">
        <v>8</v>
      </c>
      <c r="L118" s="192" t="s">
        <v>9</v>
      </c>
      <c r="M118" s="192" t="s">
        <v>54</v>
      </c>
      <c r="N118" s="251" t="s">
        <v>422</v>
      </c>
      <c r="O118" s="210" t="s">
        <v>410</v>
      </c>
      <c r="P118" s="210"/>
      <c r="Q118" s="210"/>
      <c r="R118" s="265"/>
      <c r="S118" s="193" t="s">
        <v>80</v>
      </c>
      <c r="T118" s="212">
        <v>1</v>
      </c>
      <c r="U118" s="215">
        <v>2972</v>
      </c>
      <c r="V118" s="278">
        <v>2882</v>
      </c>
      <c r="W118" s="278">
        <v>2702</v>
      </c>
      <c r="X118" s="278">
        <v>2540</v>
      </c>
      <c r="Y118" s="5"/>
      <c r="Z118" s="216">
        <f t="shared" si="6"/>
        <v>0</v>
      </c>
      <c r="AA118" s="255">
        <f t="shared" si="7"/>
        <v>0</v>
      </c>
      <c r="AB118" s="194"/>
      <c r="AC118" s="195"/>
      <c r="AD118" s="196"/>
      <c r="AE118" s="196"/>
      <c r="AF118" s="168" t="str">
        <f t="shared" si="9"/>
        <v/>
      </c>
    </row>
    <row r="119" spans="2:32" s="169" customFormat="1">
      <c r="B119" s="239"/>
      <c r="C119" s="167" t="s">
        <v>383</v>
      </c>
      <c r="D119" s="252">
        <v>32</v>
      </c>
      <c r="E119" s="252"/>
      <c r="F119" s="252"/>
      <c r="G119" s="252">
        <v>0</v>
      </c>
      <c r="H119" s="252"/>
      <c r="I119" s="192" t="s">
        <v>17</v>
      </c>
      <c r="J119" s="192" t="s">
        <v>443</v>
      </c>
      <c r="K119" s="192" t="s">
        <v>8</v>
      </c>
      <c r="L119" s="192" t="s">
        <v>9</v>
      </c>
      <c r="M119" s="192" t="s">
        <v>54</v>
      </c>
      <c r="N119" s="251" t="s">
        <v>422</v>
      </c>
      <c r="O119" s="210" t="s">
        <v>410</v>
      </c>
      <c r="P119" s="210"/>
      <c r="Q119" s="210"/>
      <c r="R119" s="285" t="s">
        <v>438</v>
      </c>
      <c r="S119" s="193" t="s">
        <v>80</v>
      </c>
      <c r="T119" s="212">
        <v>1</v>
      </c>
      <c r="U119" s="215">
        <v>2972</v>
      </c>
      <c r="V119" s="278">
        <v>2882</v>
      </c>
      <c r="W119" s="278">
        <v>2702</v>
      </c>
      <c r="X119" s="278">
        <v>2540</v>
      </c>
      <c r="Y119" s="5"/>
      <c r="Z119" s="216">
        <f t="shared" si="6"/>
        <v>0</v>
      </c>
      <c r="AA119" s="255">
        <f t="shared" si="7"/>
        <v>0</v>
      </c>
      <c r="AB119" s="194"/>
      <c r="AC119" s="195"/>
      <c r="AD119" s="196"/>
      <c r="AE119" s="196"/>
      <c r="AF119" s="168" t="str">
        <f t="shared" si="9"/>
        <v/>
      </c>
    </row>
    <row r="120" spans="2:32" s="169" customFormat="1">
      <c r="B120" s="239"/>
      <c r="C120" s="167" t="s">
        <v>285</v>
      </c>
      <c r="D120" s="252">
        <v>4</v>
      </c>
      <c r="E120" s="252"/>
      <c r="F120" s="252"/>
      <c r="G120" s="252">
        <v>0</v>
      </c>
      <c r="H120" s="252">
        <v>157</v>
      </c>
      <c r="I120" s="192" t="s">
        <v>17</v>
      </c>
      <c r="J120" s="192" t="s">
        <v>443</v>
      </c>
      <c r="K120" s="192" t="s">
        <v>8</v>
      </c>
      <c r="L120" s="192" t="s">
        <v>9</v>
      </c>
      <c r="M120" s="192" t="s">
        <v>54</v>
      </c>
      <c r="N120" s="251" t="s">
        <v>422</v>
      </c>
      <c r="O120" s="210" t="s">
        <v>58</v>
      </c>
      <c r="P120" s="210"/>
      <c r="Q120" s="210"/>
      <c r="R120" s="265"/>
      <c r="S120" s="193" t="s">
        <v>80</v>
      </c>
      <c r="T120" s="212">
        <v>1</v>
      </c>
      <c r="U120" s="215">
        <v>3134</v>
      </c>
      <c r="V120" s="278">
        <v>3039</v>
      </c>
      <c r="W120" s="278">
        <v>2849</v>
      </c>
      <c r="X120" s="278">
        <v>2678</v>
      </c>
      <c r="Y120" s="5"/>
      <c r="Z120" s="216">
        <f t="shared" si="6"/>
        <v>0</v>
      </c>
      <c r="AA120" s="255">
        <f t="shared" si="7"/>
        <v>0</v>
      </c>
      <c r="AB120" s="194"/>
      <c r="AC120" s="195"/>
      <c r="AD120" s="196"/>
      <c r="AE120" s="196"/>
      <c r="AF120" s="168" t="str">
        <f t="shared" si="9"/>
        <v/>
      </c>
    </row>
    <row r="121" spans="2:32" s="169" customFormat="1">
      <c r="B121" s="239"/>
      <c r="C121" s="167" t="s">
        <v>326</v>
      </c>
      <c r="D121" s="252">
        <v>68</v>
      </c>
      <c r="E121" s="252"/>
      <c r="F121" s="252"/>
      <c r="G121" s="252">
        <v>10</v>
      </c>
      <c r="H121" s="252">
        <v>388</v>
      </c>
      <c r="I121" s="192" t="s">
        <v>17</v>
      </c>
      <c r="J121" s="192" t="s">
        <v>443</v>
      </c>
      <c r="K121" s="192" t="s">
        <v>8</v>
      </c>
      <c r="L121" s="192" t="s">
        <v>9</v>
      </c>
      <c r="M121" s="192" t="s">
        <v>54</v>
      </c>
      <c r="N121" s="251" t="s">
        <v>422</v>
      </c>
      <c r="O121" s="210" t="s">
        <v>58</v>
      </c>
      <c r="P121" s="210"/>
      <c r="Q121" s="210"/>
      <c r="R121" s="285" t="s">
        <v>438</v>
      </c>
      <c r="S121" s="193" t="s">
        <v>80</v>
      </c>
      <c r="T121" s="212">
        <v>1</v>
      </c>
      <c r="U121" s="215">
        <v>3134</v>
      </c>
      <c r="V121" s="278">
        <v>3039</v>
      </c>
      <c r="W121" s="278">
        <v>2849</v>
      </c>
      <c r="X121" s="278">
        <v>2678</v>
      </c>
      <c r="Y121" s="5"/>
      <c r="Z121" s="216">
        <f t="shared" si="6"/>
        <v>0</v>
      </c>
      <c r="AA121" s="255">
        <f t="shared" si="7"/>
        <v>0</v>
      </c>
      <c r="AB121" s="194"/>
      <c r="AC121" s="195"/>
      <c r="AD121" s="196"/>
      <c r="AE121" s="196"/>
      <c r="AF121" s="168" t="str">
        <f t="shared" si="9"/>
        <v/>
      </c>
    </row>
    <row r="122" spans="2:32" s="169" customFormat="1">
      <c r="B122" s="239"/>
      <c r="C122" s="167" t="s">
        <v>286</v>
      </c>
      <c r="D122" s="252">
        <v>4</v>
      </c>
      <c r="E122" s="252"/>
      <c r="F122" s="252"/>
      <c r="G122" s="252">
        <v>4</v>
      </c>
      <c r="H122" s="252">
        <v>524</v>
      </c>
      <c r="I122" s="192" t="s">
        <v>17</v>
      </c>
      <c r="J122" s="192" t="s">
        <v>443</v>
      </c>
      <c r="K122" s="192" t="s">
        <v>8</v>
      </c>
      <c r="L122" s="192" t="s">
        <v>9</v>
      </c>
      <c r="M122" s="192" t="s">
        <v>54</v>
      </c>
      <c r="N122" s="251" t="s">
        <v>422</v>
      </c>
      <c r="O122" s="210" t="s">
        <v>411</v>
      </c>
      <c r="P122" s="210"/>
      <c r="Q122" s="210"/>
      <c r="R122" s="265"/>
      <c r="S122" s="193" t="s">
        <v>80</v>
      </c>
      <c r="T122" s="212">
        <v>1</v>
      </c>
      <c r="U122" s="215">
        <v>3398</v>
      </c>
      <c r="V122" s="278">
        <v>3295</v>
      </c>
      <c r="W122" s="278">
        <v>3089</v>
      </c>
      <c r="X122" s="278">
        <v>2904</v>
      </c>
      <c r="Y122" s="5"/>
      <c r="Z122" s="216">
        <f t="shared" si="6"/>
        <v>0</v>
      </c>
      <c r="AA122" s="255">
        <f t="shared" si="7"/>
        <v>0</v>
      </c>
      <c r="AB122" s="194"/>
      <c r="AC122" s="195"/>
      <c r="AD122" s="196"/>
      <c r="AE122" s="196"/>
      <c r="AF122" s="168" t="str">
        <f t="shared" si="9"/>
        <v/>
      </c>
    </row>
    <row r="123" spans="2:32" s="169" customFormat="1">
      <c r="B123" s="239"/>
      <c r="C123" s="283" t="s">
        <v>404</v>
      </c>
      <c r="D123" s="252">
        <v>10</v>
      </c>
      <c r="E123" s="252"/>
      <c r="F123" s="252"/>
      <c r="G123" s="252">
        <v>10</v>
      </c>
      <c r="H123" s="252">
        <v>583</v>
      </c>
      <c r="I123" s="192" t="s">
        <v>17</v>
      </c>
      <c r="J123" s="192" t="s">
        <v>443</v>
      </c>
      <c r="K123" s="192" t="s">
        <v>8</v>
      </c>
      <c r="L123" s="192" t="s">
        <v>9</v>
      </c>
      <c r="M123" s="192" t="s">
        <v>54</v>
      </c>
      <c r="N123" s="251" t="s">
        <v>422</v>
      </c>
      <c r="O123" s="210" t="s">
        <v>411</v>
      </c>
      <c r="P123" s="210"/>
      <c r="Q123" s="210"/>
      <c r="R123" s="285" t="s">
        <v>438</v>
      </c>
      <c r="S123" s="193" t="s">
        <v>80</v>
      </c>
      <c r="T123" s="212">
        <v>1</v>
      </c>
      <c r="U123" s="215">
        <v>3398</v>
      </c>
      <c r="V123" s="278">
        <v>3295</v>
      </c>
      <c r="W123" s="278">
        <v>3089</v>
      </c>
      <c r="X123" s="278">
        <v>2904</v>
      </c>
      <c r="Y123" s="5"/>
      <c r="Z123" s="216">
        <f t="shared" si="6"/>
        <v>0</v>
      </c>
      <c r="AA123" s="255">
        <f t="shared" si="7"/>
        <v>0</v>
      </c>
      <c r="AB123" s="194"/>
      <c r="AC123" s="195"/>
      <c r="AD123" s="196"/>
      <c r="AE123" s="196"/>
      <c r="AF123" s="168" t="str">
        <f t="shared" si="9"/>
        <v/>
      </c>
    </row>
    <row r="124" spans="2:32" s="169" customFormat="1">
      <c r="B124" s="239"/>
      <c r="C124" s="167" t="s">
        <v>516</v>
      </c>
      <c r="D124" s="252"/>
      <c r="E124" s="252"/>
      <c r="F124" s="252"/>
      <c r="G124" s="252"/>
      <c r="H124" s="252">
        <v>667</v>
      </c>
      <c r="I124" s="192" t="s">
        <v>17</v>
      </c>
      <c r="J124" s="192" t="s">
        <v>443</v>
      </c>
      <c r="K124" s="192" t="s">
        <v>8</v>
      </c>
      <c r="L124" s="192" t="s">
        <v>9</v>
      </c>
      <c r="M124" s="192" t="s">
        <v>54</v>
      </c>
      <c r="N124" s="251" t="s">
        <v>422</v>
      </c>
      <c r="O124" s="210" t="s">
        <v>412</v>
      </c>
      <c r="P124" s="210"/>
      <c r="Q124" s="210"/>
      <c r="R124" s="285"/>
      <c r="S124" s="193" t="s">
        <v>80</v>
      </c>
      <c r="T124" s="212">
        <v>1</v>
      </c>
      <c r="U124" s="215">
        <v>4564</v>
      </c>
      <c r="V124" s="278">
        <v>4426</v>
      </c>
      <c r="W124" s="278">
        <v>4149</v>
      </c>
      <c r="X124" s="278">
        <v>3901</v>
      </c>
      <c r="Y124" s="5"/>
      <c r="Z124" s="216">
        <f t="shared" si="6"/>
        <v>0</v>
      </c>
      <c r="AA124" s="255">
        <f t="shared" si="7"/>
        <v>0</v>
      </c>
      <c r="AB124" s="194"/>
      <c r="AC124" s="195"/>
      <c r="AD124" s="196"/>
      <c r="AE124" s="196"/>
      <c r="AF124" s="168"/>
    </row>
    <row r="125" spans="2:32" s="169" customFormat="1">
      <c r="B125" s="239"/>
      <c r="C125" s="167" t="s">
        <v>384</v>
      </c>
      <c r="D125" s="252">
        <v>0</v>
      </c>
      <c r="E125" s="252"/>
      <c r="F125" s="252"/>
      <c r="G125" s="252">
        <v>4</v>
      </c>
      <c r="H125" s="252"/>
      <c r="I125" s="192" t="s">
        <v>17</v>
      </c>
      <c r="J125" s="192" t="s">
        <v>443</v>
      </c>
      <c r="K125" s="192" t="s">
        <v>8</v>
      </c>
      <c r="L125" s="192" t="s">
        <v>9</v>
      </c>
      <c r="M125" s="192" t="s">
        <v>54</v>
      </c>
      <c r="N125" s="251" t="s">
        <v>422</v>
      </c>
      <c r="O125" s="210" t="s">
        <v>412</v>
      </c>
      <c r="P125" s="210"/>
      <c r="Q125" s="210"/>
      <c r="R125" s="285" t="s">
        <v>438</v>
      </c>
      <c r="S125" s="193" t="s">
        <v>80</v>
      </c>
      <c r="T125" s="212">
        <v>1</v>
      </c>
      <c r="U125" s="215">
        <v>4564</v>
      </c>
      <c r="V125" s="278">
        <v>4426</v>
      </c>
      <c r="W125" s="278">
        <v>4149</v>
      </c>
      <c r="X125" s="278">
        <v>3901</v>
      </c>
      <c r="Y125" s="5"/>
      <c r="Z125" s="216">
        <f t="shared" si="6"/>
        <v>0</v>
      </c>
      <c r="AA125" s="255">
        <f t="shared" si="7"/>
        <v>0</v>
      </c>
      <c r="AB125" s="194"/>
      <c r="AC125" s="195"/>
      <c r="AD125" s="196"/>
      <c r="AE125" s="196"/>
      <c r="AF125" s="168" t="str">
        <f>IF(Y125/T125=0,"",IF(MOD(Y125,T125)&gt;0,"ОШИБКА!!! неверная кратность на сорт",""))</f>
        <v/>
      </c>
    </row>
    <row r="126" spans="2:32" s="169" customFormat="1">
      <c r="B126" s="239"/>
      <c r="C126" s="167" t="s">
        <v>517</v>
      </c>
      <c r="D126" s="252"/>
      <c r="E126" s="252"/>
      <c r="F126" s="252"/>
      <c r="G126" s="252"/>
      <c r="H126" s="252">
        <v>601</v>
      </c>
      <c r="I126" s="192" t="s">
        <v>17</v>
      </c>
      <c r="J126" s="192" t="s">
        <v>443</v>
      </c>
      <c r="K126" s="192" t="s">
        <v>8</v>
      </c>
      <c r="L126" s="192" t="s">
        <v>9</v>
      </c>
      <c r="M126" s="192" t="s">
        <v>54</v>
      </c>
      <c r="N126" s="251" t="s">
        <v>422</v>
      </c>
      <c r="O126" s="210" t="s">
        <v>407</v>
      </c>
      <c r="P126" s="210"/>
      <c r="Q126" s="210"/>
      <c r="R126" s="285"/>
      <c r="S126" s="193" t="s">
        <v>80</v>
      </c>
      <c r="T126" s="212">
        <v>1</v>
      </c>
      <c r="U126" s="215">
        <v>5363</v>
      </c>
      <c r="V126" s="278">
        <v>5200</v>
      </c>
      <c r="W126" s="278">
        <v>4875</v>
      </c>
      <c r="X126" s="278">
        <v>4583</v>
      </c>
      <c r="Y126" s="5"/>
      <c r="Z126" s="216">
        <f t="shared" si="6"/>
        <v>0</v>
      </c>
      <c r="AA126" s="255">
        <f t="shared" si="7"/>
        <v>0</v>
      </c>
      <c r="AB126" s="194"/>
      <c r="AC126" s="195"/>
      <c r="AD126" s="196"/>
      <c r="AE126" s="196"/>
      <c r="AF126" s="168"/>
    </row>
    <row r="127" spans="2:32" s="169" customFormat="1">
      <c r="B127" s="239"/>
      <c r="C127" s="167" t="s">
        <v>518</v>
      </c>
      <c r="D127" s="252"/>
      <c r="E127" s="252"/>
      <c r="F127" s="252"/>
      <c r="G127" s="252"/>
      <c r="H127" s="252">
        <v>289</v>
      </c>
      <c r="I127" s="192" t="s">
        <v>17</v>
      </c>
      <c r="J127" s="192" t="s">
        <v>443</v>
      </c>
      <c r="K127" s="192" t="s">
        <v>8</v>
      </c>
      <c r="L127" s="192" t="s">
        <v>9</v>
      </c>
      <c r="M127" s="192" t="s">
        <v>54</v>
      </c>
      <c r="N127" s="251" t="s">
        <v>422</v>
      </c>
      <c r="O127" s="210" t="s">
        <v>413</v>
      </c>
      <c r="P127" s="210"/>
      <c r="Q127" s="210"/>
      <c r="R127" s="285"/>
      <c r="S127" s="193" t="s">
        <v>80</v>
      </c>
      <c r="T127" s="212">
        <v>1</v>
      </c>
      <c r="U127" s="215">
        <v>6914</v>
      </c>
      <c r="V127" s="278">
        <v>6704</v>
      </c>
      <c r="W127" s="278">
        <v>6285</v>
      </c>
      <c r="X127" s="278">
        <v>5908</v>
      </c>
      <c r="Y127" s="5"/>
      <c r="Z127" s="216">
        <f t="shared" si="6"/>
        <v>0</v>
      </c>
      <c r="AA127" s="255">
        <f t="shared" si="7"/>
        <v>0</v>
      </c>
      <c r="AB127" s="194"/>
      <c r="AC127" s="195"/>
      <c r="AD127" s="196"/>
      <c r="AE127" s="196"/>
      <c r="AF127" s="168"/>
    </row>
    <row r="128" spans="2:32" s="169" customFormat="1">
      <c r="B128" s="239"/>
      <c r="C128" s="167" t="s">
        <v>519</v>
      </c>
      <c r="D128" s="252"/>
      <c r="E128" s="252"/>
      <c r="F128" s="252"/>
      <c r="G128" s="252"/>
      <c r="H128" s="252">
        <v>20</v>
      </c>
      <c r="I128" s="192" t="s">
        <v>17</v>
      </c>
      <c r="J128" s="192" t="s">
        <v>443</v>
      </c>
      <c r="K128" s="192" t="s">
        <v>8</v>
      </c>
      <c r="L128" s="192" t="s">
        <v>9</v>
      </c>
      <c r="M128" s="192" t="s">
        <v>54</v>
      </c>
      <c r="N128" s="251" t="s">
        <v>422</v>
      </c>
      <c r="O128" s="210" t="s">
        <v>408</v>
      </c>
      <c r="P128" s="210"/>
      <c r="Q128" s="210"/>
      <c r="R128" s="285"/>
      <c r="S128" s="193" t="s">
        <v>80</v>
      </c>
      <c r="T128" s="212">
        <v>1</v>
      </c>
      <c r="U128" s="215">
        <v>7475</v>
      </c>
      <c r="V128" s="278">
        <v>7248</v>
      </c>
      <c r="W128" s="278">
        <v>6795</v>
      </c>
      <c r="X128" s="278">
        <v>6388</v>
      </c>
      <c r="Y128" s="5"/>
      <c r="Z128" s="216">
        <f t="shared" si="6"/>
        <v>0</v>
      </c>
      <c r="AA128" s="255">
        <f t="shared" si="7"/>
        <v>0</v>
      </c>
      <c r="AB128" s="194"/>
      <c r="AC128" s="195"/>
      <c r="AD128" s="196"/>
      <c r="AE128" s="196"/>
      <c r="AF128" s="168"/>
    </row>
    <row r="129" spans="2:32" s="169" customFormat="1">
      <c r="B129" s="239"/>
      <c r="C129" s="167" t="s">
        <v>380</v>
      </c>
      <c r="D129" s="252"/>
      <c r="E129" s="252"/>
      <c r="F129" s="252"/>
      <c r="G129" s="252"/>
      <c r="H129" s="252"/>
      <c r="I129" s="192" t="s">
        <v>17</v>
      </c>
      <c r="J129" s="287" t="s">
        <v>443</v>
      </c>
      <c r="K129" s="287" t="s">
        <v>8</v>
      </c>
      <c r="L129" s="287" t="s">
        <v>9</v>
      </c>
      <c r="M129" s="287" t="s">
        <v>54</v>
      </c>
      <c r="N129" s="291" t="s">
        <v>422</v>
      </c>
      <c r="O129" s="288" t="s">
        <v>414</v>
      </c>
      <c r="P129" s="289"/>
      <c r="Q129" s="288"/>
      <c r="R129" s="265"/>
      <c r="S129" s="193" t="s">
        <v>80</v>
      </c>
      <c r="T129" s="212">
        <v>1</v>
      </c>
      <c r="U129" s="215">
        <v>6914</v>
      </c>
      <c r="V129" s="278">
        <v>6704</v>
      </c>
      <c r="W129" s="278">
        <v>6285</v>
      </c>
      <c r="X129" s="278">
        <v>5908</v>
      </c>
      <c r="Y129" s="5"/>
      <c r="Z129" s="216">
        <f t="shared" si="6"/>
        <v>0</v>
      </c>
      <c r="AA129" s="255">
        <f t="shared" si="7"/>
        <v>0</v>
      </c>
      <c r="AB129" s="194" t="s">
        <v>305</v>
      </c>
      <c r="AC129" s="195"/>
      <c r="AD129" s="196"/>
      <c r="AE129" s="196"/>
      <c r="AF129" s="168" t="str">
        <f>IF(Y129/T129=0,"",IF(MOD(Y129,T129)&gt;0,"ОШИБКА!!! неверная кратность на сорт",""))</f>
        <v/>
      </c>
    </row>
    <row r="130" spans="2:32" s="169" customFormat="1">
      <c r="B130" s="239"/>
      <c r="C130" s="167" t="s">
        <v>381</v>
      </c>
      <c r="D130" s="252"/>
      <c r="E130" s="252"/>
      <c r="F130" s="252"/>
      <c r="G130" s="252"/>
      <c r="H130" s="252"/>
      <c r="I130" s="192" t="s">
        <v>17</v>
      </c>
      <c r="J130" s="287" t="s">
        <v>443</v>
      </c>
      <c r="K130" s="287" t="s">
        <v>8</v>
      </c>
      <c r="L130" s="287" t="s">
        <v>9</v>
      </c>
      <c r="M130" s="287" t="s">
        <v>54</v>
      </c>
      <c r="N130" s="291" t="s">
        <v>422</v>
      </c>
      <c r="O130" s="288" t="s">
        <v>415</v>
      </c>
      <c r="P130" s="289"/>
      <c r="Q130" s="288"/>
      <c r="R130" s="265"/>
      <c r="S130" s="193" t="s">
        <v>80</v>
      </c>
      <c r="T130" s="212">
        <v>1</v>
      </c>
      <c r="U130" s="215">
        <v>7475</v>
      </c>
      <c r="V130" s="278">
        <v>7248</v>
      </c>
      <c r="W130" s="278">
        <v>6795</v>
      </c>
      <c r="X130" s="278">
        <v>6388</v>
      </c>
      <c r="Y130" s="5"/>
      <c r="Z130" s="216">
        <f t="shared" si="6"/>
        <v>0</v>
      </c>
      <c r="AA130" s="255">
        <f t="shared" si="7"/>
        <v>0</v>
      </c>
      <c r="AB130" s="194" t="s">
        <v>305</v>
      </c>
      <c r="AC130" s="195"/>
      <c r="AD130" s="196"/>
      <c r="AE130" s="196"/>
      <c r="AF130" s="168" t="str">
        <f>IF(Y130/T130=0,"",IF(MOD(Y130,T130)&gt;0,"ОШИБКА!!! неверная кратность на сорт",""))</f>
        <v/>
      </c>
    </row>
    <row r="131" spans="2:32" s="169" customFormat="1">
      <c r="B131" s="239"/>
      <c r="C131" s="167" t="s">
        <v>486</v>
      </c>
      <c r="D131" s="252"/>
      <c r="E131" s="252"/>
      <c r="F131" s="252"/>
      <c r="G131" s="252"/>
      <c r="H131" s="252">
        <v>17</v>
      </c>
      <c r="I131" s="192" t="s">
        <v>17</v>
      </c>
      <c r="J131" s="192" t="s">
        <v>443</v>
      </c>
      <c r="K131" s="192" t="s">
        <v>8</v>
      </c>
      <c r="L131" s="192" t="s">
        <v>9</v>
      </c>
      <c r="M131" s="192" t="s">
        <v>15</v>
      </c>
      <c r="N131" s="251" t="s">
        <v>422</v>
      </c>
      <c r="O131" s="210" t="s">
        <v>405</v>
      </c>
      <c r="P131" s="289"/>
      <c r="Q131" s="288"/>
      <c r="R131" s="265"/>
      <c r="S131" s="193" t="s">
        <v>80</v>
      </c>
      <c r="T131" s="212">
        <v>1</v>
      </c>
      <c r="U131" s="215">
        <v>3630</v>
      </c>
      <c r="V131" s="278">
        <v>3520</v>
      </c>
      <c r="W131" s="278">
        <v>3300</v>
      </c>
      <c r="X131" s="278">
        <v>3102</v>
      </c>
      <c r="Y131" s="5"/>
      <c r="Z131" s="216">
        <f t="shared" si="6"/>
        <v>0</v>
      </c>
      <c r="AA131" s="255">
        <f t="shared" si="7"/>
        <v>0</v>
      </c>
      <c r="AB131" s="194"/>
      <c r="AC131" s="195"/>
      <c r="AD131" s="196"/>
      <c r="AE131" s="196"/>
      <c r="AF131" s="168"/>
    </row>
    <row r="132" spans="2:32" s="169" customFormat="1">
      <c r="B132" s="239"/>
      <c r="C132" s="167" t="s">
        <v>171</v>
      </c>
      <c r="D132" s="252"/>
      <c r="E132" s="252"/>
      <c r="F132" s="252"/>
      <c r="G132" s="252"/>
      <c r="H132" s="252">
        <v>142</v>
      </c>
      <c r="I132" s="192" t="s">
        <v>17</v>
      </c>
      <c r="J132" s="192" t="s">
        <v>443</v>
      </c>
      <c r="K132" s="192" t="s">
        <v>8</v>
      </c>
      <c r="L132" s="192" t="s">
        <v>9</v>
      </c>
      <c r="M132" s="192" t="s">
        <v>15</v>
      </c>
      <c r="N132" s="251" t="s">
        <v>422</v>
      </c>
      <c r="O132" s="210" t="s">
        <v>7</v>
      </c>
      <c r="P132" s="288"/>
      <c r="Q132" s="288"/>
      <c r="R132" s="265"/>
      <c r="S132" s="193" t="s">
        <v>80</v>
      </c>
      <c r="T132" s="212">
        <v>1</v>
      </c>
      <c r="U132" s="215">
        <v>4325</v>
      </c>
      <c r="V132" s="278">
        <v>4194</v>
      </c>
      <c r="W132" s="278">
        <v>3932</v>
      </c>
      <c r="X132" s="278">
        <v>3696</v>
      </c>
      <c r="Y132" s="5"/>
      <c r="Z132" s="216">
        <f t="shared" si="6"/>
        <v>0</v>
      </c>
      <c r="AA132" s="255">
        <f t="shared" si="7"/>
        <v>0</v>
      </c>
      <c r="AB132" s="194"/>
      <c r="AC132" s="195"/>
      <c r="AD132" s="196"/>
      <c r="AE132" s="196"/>
      <c r="AF132" s="168" t="str">
        <f>IF(Y132/T132=0,"",IF(MOD(Y132,T132)&gt;0,"ОШИБКА!!! неверная кратность на сорт",""))</f>
        <v/>
      </c>
    </row>
    <row r="133" spans="2:32" s="169" customFormat="1">
      <c r="B133" s="239"/>
      <c r="C133" s="167" t="s">
        <v>487</v>
      </c>
      <c r="D133" s="252"/>
      <c r="E133" s="252"/>
      <c r="F133" s="252"/>
      <c r="G133" s="252"/>
      <c r="H133" s="252">
        <v>166</v>
      </c>
      <c r="I133" s="192" t="s">
        <v>17</v>
      </c>
      <c r="J133" s="192" t="s">
        <v>443</v>
      </c>
      <c r="K133" s="192" t="s">
        <v>8</v>
      </c>
      <c r="L133" s="192" t="s">
        <v>9</v>
      </c>
      <c r="M133" s="192" t="s">
        <v>15</v>
      </c>
      <c r="N133" s="251" t="s">
        <v>422</v>
      </c>
      <c r="O133" s="210" t="s">
        <v>14</v>
      </c>
      <c r="P133" s="288"/>
      <c r="Q133" s="288"/>
      <c r="R133" s="265"/>
      <c r="S133" s="193" t="s">
        <v>80</v>
      </c>
      <c r="T133" s="212">
        <v>1</v>
      </c>
      <c r="U133" s="215">
        <v>4835</v>
      </c>
      <c r="V133" s="278">
        <v>4688</v>
      </c>
      <c r="W133" s="278">
        <v>4395</v>
      </c>
      <c r="X133" s="278">
        <v>4132</v>
      </c>
      <c r="Y133" s="5"/>
      <c r="Z133" s="216">
        <f t="shared" si="6"/>
        <v>0</v>
      </c>
      <c r="AA133" s="255">
        <f t="shared" si="7"/>
        <v>0</v>
      </c>
      <c r="AB133" s="194"/>
      <c r="AC133" s="195"/>
      <c r="AD133" s="196"/>
      <c r="AE133" s="196"/>
      <c r="AF133" s="168"/>
    </row>
    <row r="134" spans="2:32" s="169" customFormat="1">
      <c r="B134" s="239"/>
      <c r="C134" s="167" t="s">
        <v>397</v>
      </c>
      <c r="D134" s="252">
        <v>0</v>
      </c>
      <c r="E134" s="252"/>
      <c r="F134" s="252"/>
      <c r="G134" s="252">
        <v>1</v>
      </c>
      <c r="H134" s="252">
        <v>7</v>
      </c>
      <c r="I134" s="192" t="s">
        <v>17</v>
      </c>
      <c r="J134" s="192" t="s">
        <v>443</v>
      </c>
      <c r="K134" s="192" t="s">
        <v>8</v>
      </c>
      <c r="L134" s="192" t="s">
        <v>9</v>
      </c>
      <c r="M134" s="192" t="s">
        <v>15</v>
      </c>
      <c r="N134" s="251" t="s">
        <v>422</v>
      </c>
      <c r="O134" s="210" t="s">
        <v>38</v>
      </c>
      <c r="P134" s="210"/>
      <c r="Q134" s="210"/>
      <c r="R134" s="265"/>
      <c r="S134" s="193" t="s">
        <v>80</v>
      </c>
      <c r="T134" s="212">
        <v>1</v>
      </c>
      <c r="U134" s="215">
        <v>5346</v>
      </c>
      <c r="V134" s="278">
        <v>5184</v>
      </c>
      <c r="W134" s="278">
        <v>4860</v>
      </c>
      <c r="X134" s="278">
        <v>4569</v>
      </c>
      <c r="Y134" s="5"/>
      <c r="Z134" s="216">
        <f t="shared" si="6"/>
        <v>0</v>
      </c>
      <c r="AA134" s="255">
        <f t="shared" si="7"/>
        <v>0</v>
      </c>
      <c r="AB134" s="194"/>
      <c r="AC134" s="195"/>
      <c r="AD134" s="196"/>
      <c r="AE134" s="196"/>
      <c r="AF134" s="168" t="str">
        <f>IF(Y134/T134=0,"",IF(MOD(Y134,T134)&gt;0,"ОШИБКА!!! неверная кратность на сорт",""))</f>
        <v/>
      </c>
    </row>
    <row r="135" spans="2:32" s="169" customFormat="1">
      <c r="B135" s="239"/>
      <c r="C135" s="167" t="s">
        <v>288</v>
      </c>
      <c r="D135" s="252"/>
      <c r="E135" s="252"/>
      <c r="F135" s="252"/>
      <c r="G135" s="252"/>
      <c r="H135" s="252"/>
      <c r="I135" s="192" t="s">
        <v>17</v>
      </c>
      <c r="J135" s="287" t="s">
        <v>443</v>
      </c>
      <c r="K135" s="287" t="s">
        <v>8</v>
      </c>
      <c r="L135" s="287" t="s">
        <v>9</v>
      </c>
      <c r="M135" s="287" t="s">
        <v>15</v>
      </c>
      <c r="N135" s="291" t="s">
        <v>422</v>
      </c>
      <c r="O135" s="288" t="s">
        <v>30</v>
      </c>
      <c r="P135" s="288"/>
      <c r="Q135" s="288"/>
      <c r="R135" s="265"/>
      <c r="S135" s="193" t="s">
        <v>80</v>
      </c>
      <c r="T135" s="212">
        <v>1</v>
      </c>
      <c r="U135" s="215">
        <v>8600</v>
      </c>
      <c r="V135" s="278">
        <v>8340</v>
      </c>
      <c r="W135" s="278">
        <v>7818</v>
      </c>
      <c r="X135" s="278">
        <v>7349</v>
      </c>
      <c r="Y135" s="5"/>
      <c r="Z135" s="216">
        <f t="shared" si="6"/>
        <v>0</v>
      </c>
      <c r="AA135" s="255">
        <f t="shared" si="7"/>
        <v>0</v>
      </c>
      <c r="AB135" s="194" t="s">
        <v>305</v>
      </c>
      <c r="AC135" s="195"/>
      <c r="AD135" s="196"/>
      <c r="AE135" s="196"/>
      <c r="AF135" s="168" t="str">
        <f>IF(Y135/T135=0,"",IF(MOD(Y135,T135)&gt;0,"ОШИБКА!!! неверная кратность на сорт",""))</f>
        <v/>
      </c>
    </row>
    <row r="136" spans="2:32" s="169" customFormat="1">
      <c r="B136" s="239"/>
      <c r="C136" s="167" t="s">
        <v>488</v>
      </c>
      <c r="D136" s="252"/>
      <c r="E136" s="252"/>
      <c r="F136" s="252"/>
      <c r="G136" s="252"/>
      <c r="H136" s="252">
        <v>1</v>
      </c>
      <c r="I136" s="192" t="s">
        <v>17</v>
      </c>
      <c r="J136" s="192" t="s">
        <v>443</v>
      </c>
      <c r="K136" s="192" t="s">
        <v>8</v>
      </c>
      <c r="L136" s="192" t="s">
        <v>9</v>
      </c>
      <c r="M136" s="192" t="s">
        <v>173</v>
      </c>
      <c r="N136" s="251" t="s">
        <v>422</v>
      </c>
      <c r="O136" s="210" t="s">
        <v>14</v>
      </c>
      <c r="P136" s="288"/>
      <c r="Q136" s="288"/>
      <c r="R136" s="265"/>
      <c r="S136" s="193" t="s">
        <v>80</v>
      </c>
      <c r="T136" s="212">
        <v>1</v>
      </c>
      <c r="U136" s="215">
        <v>5609</v>
      </c>
      <c r="V136" s="278">
        <v>5439</v>
      </c>
      <c r="W136" s="278">
        <v>5099</v>
      </c>
      <c r="X136" s="278">
        <v>4793</v>
      </c>
      <c r="Y136" s="5"/>
      <c r="Z136" s="216">
        <f t="shared" si="6"/>
        <v>0</v>
      </c>
      <c r="AA136" s="255">
        <f t="shared" si="7"/>
        <v>0</v>
      </c>
      <c r="AB136" s="194"/>
      <c r="AC136" s="195"/>
      <c r="AD136" s="196"/>
      <c r="AE136" s="196"/>
      <c r="AF136" s="168"/>
    </row>
    <row r="137" spans="2:32" s="169" customFormat="1">
      <c r="B137" s="239"/>
      <c r="C137" s="167" t="s">
        <v>172</v>
      </c>
      <c r="D137" s="252"/>
      <c r="E137" s="252"/>
      <c r="F137" s="252"/>
      <c r="G137" s="252"/>
      <c r="H137" s="252">
        <v>15</v>
      </c>
      <c r="I137" s="192" t="s">
        <v>17</v>
      </c>
      <c r="J137" s="192" t="s">
        <v>443</v>
      </c>
      <c r="K137" s="192" t="s">
        <v>8</v>
      </c>
      <c r="L137" s="192" t="s">
        <v>9</v>
      </c>
      <c r="M137" s="192" t="s">
        <v>173</v>
      </c>
      <c r="N137" s="251" t="s">
        <v>422</v>
      </c>
      <c r="O137" s="210" t="s">
        <v>38</v>
      </c>
      <c r="P137" s="288"/>
      <c r="Q137" s="288"/>
      <c r="R137" s="265"/>
      <c r="S137" s="193" t="s">
        <v>80</v>
      </c>
      <c r="T137" s="212">
        <v>1</v>
      </c>
      <c r="U137" s="215">
        <v>6323</v>
      </c>
      <c r="V137" s="278">
        <v>6132</v>
      </c>
      <c r="W137" s="278">
        <v>5748</v>
      </c>
      <c r="X137" s="278">
        <v>5404</v>
      </c>
      <c r="Y137" s="5"/>
      <c r="Z137" s="216">
        <f t="shared" si="6"/>
        <v>0</v>
      </c>
      <c r="AA137" s="255">
        <f t="shared" si="7"/>
        <v>0</v>
      </c>
      <c r="AB137" s="194"/>
      <c r="AC137" s="195"/>
      <c r="AD137" s="196"/>
      <c r="AE137" s="196"/>
      <c r="AF137" s="168" t="str">
        <f>IF(Y137/T137=0,"",IF(MOD(Y137,T137)&gt;0,"ОШИБКА!!! неверная кратность на сорт",""))</f>
        <v/>
      </c>
    </row>
    <row r="138" spans="2:32" s="169" customFormat="1">
      <c r="B138" s="239"/>
      <c r="C138" s="167" t="s">
        <v>174</v>
      </c>
      <c r="D138" s="252">
        <v>0</v>
      </c>
      <c r="E138" s="252"/>
      <c r="F138" s="252"/>
      <c r="G138" s="252">
        <v>3</v>
      </c>
      <c r="H138" s="252">
        <v>8</v>
      </c>
      <c r="I138" s="192" t="s">
        <v>17</v>
      </c>
      <c r="J138" s="192" t="s">
        <v>443</v>
      </c>
      <c r="K138" s="192" t="s">
        <v>8</v>
      </c>
      <c r="L138" s="192" t="s">
        <v>9</v>
      </c>
      <c r="M138" s="192" t="s">
        <v>173</v>
      </c>
      <c r="N138" s="251" t="s">
        <v>422</v>
      </c>
      <c r="O138" s="210" t="s">
        <v>33</v>
      </c>
      <c r="P138" s="210"/>
      <c r="Q138" s="210"/>
      <c r="R138" s="265"/>
      <c r="S138" s="193" t="s">
        <v>80</v>
      </c>
      <c r="T138" s="212">
        <v>1</v>
      </c>
      <c r="U138" s="215">
        <v>6731</v>
      </c>
      <c r="V138" s="278">
        <v>6527</v>
      </c>
      <c r="W138" s="278">
        <v>6119</v>
      </c>
      <c r="X138" s="278">
        <v>5752</v>
      </c>
      <c r="Y138" s="5"/>
      <c r="Z138" s="216">
        <f t="shared" si="6"/>
        <v>0</v>
      </c>
      <c r="AA138" s="255">
        <f t="shared" si="7"/>
        <v>0</v>
      </c>
      <c r="AB138" s="194"/>
      <c r="AC138" s="195"/>
      <c r="AD138" s="196"/>
      <c r="AE138" s="196"/>
      <c r="AF138" s="168" t="str">
        <f>IF(Y138/T138=0,"",IF(MOD(Y138,T138)&gt;0,"ОШИБКА!!! неверная кратность на сорт",""))</f>
        <v/>
      </c>
    </row>
    <row r="139" spans="2:32" s="169" customFormat="1">
      <c r="B139" s="239"/>
      <c r="C139" s="167" t="s">
        <v>489</v>
      </c>
      <c r="D139" s="252"/>
      <c r="E139" s="252"/>
      <c r="F139" s="252"/>
      <c r="G139" s="252"/>
      <c r="H139" s="252">
        <v>2</v>
      </c>
      <c r="I139" s="192" t="s">
        <v>17</v>
      </c>
      <c r="J139" s="192" t="s">
        <v>443</v>
      </c>
      <c r="K139" s="192" t="s">
        <v>8</v>
      </c>
      <c r="L139" s="192" t="s">
        <v>9</v>
      </c>
      <c r="M139" s="192" t="s">
        <v>173</v>
      </c>
      <c r="N139" s="251" t="s">
        <v>422</v>
      </c>
      <c r="O139" s="210" t="s">
        <v>35</v>
      </c>
      <c r="P139" s="210"/>
      <c r="Q139" s="210"/>
      <c r="R139" s="265"/>
      <c r="S139" s="193" t="s">
        <v>80</v>
      </c>
      <c r="T139" s="212">
        <v>1</v>
      </c>
      <c r="U139" s="215">
        <v>7557</v>
      </c>
      <c r="V139" s="278">
        <v>7328</v>
      </c>
      <c r="W139" s="278">
        <v>6870</v>
      </c>
      <c r="X139" s="278">
        <v>6458</v>
      </c>
      <c r="Y139" s="5"/>
      <c r="Z139" s="216">
        <f t="shared" si="6"/>
        <v>0</v>
      </c>
      <c r="AA139" s="255">
        <f t="shared" si="7"/>
        <v>0</v>
      </c>
      <c r="AB139" s="194"/>
      <c r="AC139" s="195"/>
      <c r="AD139" s="196"/>
      <c r="AE139" s="196"/>
      <c r="AF139" s="168"/>
    </row>
    <row r="140" spans="2:32" s="169" customFormat="1">
      <c r="B140" s="239"/>
      <c r="C140" s="167" t="s">
        <v>178</v>
      </c>
      <c r="D140" s="252">
        <v>0</v>
      </c>
      <c r="E140" s="252"/>
      <c r="F140" s="252"/>
      <c r="G140" s="252">
        <v>5</v>
      </c>
      <c r="H140" s="252"/>
      <c r="I140" s="192" t="s">
        <v>17</v>
      </c>
      <c r="J140" s="192" t="s">
        <v>443</v>
      </c>
      <c r="K140" s="192" t="s">
        <v>8</v>
      </c>
      <c r="L140" s="192" t="s">
        <v>9</v>
      </c>
      <c r="M140" s="192" t="s">
        <v>179</v>
      </c>
      <c r="N140" s="251" t="s">
        <v>422</v>
      </c>
      <c r="O140" s="210" t="s">
        <v>38</v>
      </c>
      <c r="P140" s="210"/>
      <c r="Q140" s="288"/>
      <c r="R140" s="265"/>
      <c r="S140" s="193" t="s">
        <v>80</v>
      </c>
      <c r="T140" s="212">
        <v>1</v>
      </c>
      <c r="U140" s="215">
        <v>6119</v>
      </c>
      <c r="V140" s="278">
        <v>5933</v>
      </c>
      <c r="W140" s="278">
        <v>5562</v>
      </c>
      <c r="X140" s="278">
        <v>5229</v>
      </c>
      <c r="Y140" s="5"/>
      <c r="Z140" s="216">
        <f t="shared" si="6"/>
        <v>0</v>
      </c>
      <c r="AA140" s="255">
        <f t="shared" si="7"/>
        <v>0</v>
      </c>
      <c r="AB140" s="194"/>
      <c r="AC140" s="195"/>
      <c r="AD140" s="196"/>
      <c r="AE140" s="196"/>
      <c r="AF140" s="168" t="str">
        <f>IF(Y140/T140=0,"",IF(MOD(Y140,T140)&gt;0,"ОШИБКА!!! неверная кратность на сорт",""))</f>
        <v/>
      </c>
    </row>
    <row r="141" spans="2:32" s="169" customFormat="1">
      <c r="B141" s="239"/>
      <c r="C141" s="167" t="s">
        <v>180</v>
      </c>
      <c r="D141" s="252">
        <v>0</v>
      </c>
      <c r="E141" s="252"/>
      <c r="F141" s="252"/>
      <c r="G141" s="252">
        <v>8</v>
      </c>
      <c r="H141" s="252">
        <v>2</v>
      </c>
      <c r="I141" s="192" t="s">
        <v>17</v>
      </c>
      <c r="J141" s="192" t="s">
        <v>443</v>
      </c>
      <c r="K141" s="192" t="s">
        <v>8</v>
      </c>
      <c r="L141" s="192" t="s">
        <v>9</v>
      </c>
      <c r="M141" s="192" t="s">
        <v>179</v>
      </c>
      <c r="N141" s="251" t="s">
        <v>422</v>
      </c>
      <c r="O141" s="210" t="s">
        <v>33</v>
      </c>
      <c r="P141" s="210"/>
      <c r="Q141" s="210"/>
      <c r="R141" s="265"/>
      <c r="S141" s="193" t="s">
        <v>80</v>
      </c>
      <c r="T141" s="212">
        <v>1</v>
      </c>
      <c r="U141" s="215">
        <v>6323</v>
      </c>
      <c r="V141" s="278">
        <v>6132</v>
      </c>
      <c r="W141" s="278">
        <v>5748</v>
      </c>
      <c r="X141" s="278">
        <v>5404</v>
      </c>
      <c r="Y141" s="5"/>
      <c r="Z141" s="216">
        <f t="shared" si="6"/>
        <v>0</v>
      </c>
      <c r="AA141" s="255">
        <f t="shared" si="7"/>
        <v>0</v>
      </c>
      <c r="AB141" s="194"/>
      <c r="AC141" s="195"/>
      <c r="AD141" s="196"/>
      <c r="AE141" s="196"/>
      <c r="AF141" s="168" t="str">
        <f>IF(Y141/T141=0,"",IF(MOD(Y141,T141)&gt;0,"ОШИБКА!!! неверная кратность на сорт",""))</f>
        <v/>
      </c>
    </row>
    <row r="142" spans="2:32" s="169" customFormat="1">
      <c r="B142" s="239"/>
      <c r="C142" s="167" t="s">
        <v>490</v>
      </c>
      <c r="D142" s="252"/>
      <c r="E142" s="252"/>
      <c r="F142" s="252"/>
      <c r="G142" s="252"/>
      <c r="H142" s="252">
        <v>20</v>
      </c>
      <c r="I142" s="192" t="s">
        <v>17</v>
      </c>
      <c r="J142" s="192" t="s">
        <v>443</v>
      </c>
      <c r="K142" s="192" t="s">
        <v>8</v>
      </c>
      <c r="L142" s="192" t="s">
        <v>9</v>
      </c>
      <c r="M142" s="192" t="s">
        <v>179</v>
      </c>
      <c r="N142" s="251" t="s">
        <v>422</v>
      </c>
      <c r="O142" s="210" t="s">
        <v>35</v>
      </c>
      <c r="P142" s="210"/>
      <c r="Q142" s="210"/>
      <c r="R142" s="265"/>
      <c r="S142" s="193" t="s">
        <v>80</v>
      </c>
      <c r="T142" s="212">
        <v>1</v>
      </c>
      <c r="U142" s="215">
        <v>6584</v>
      </c>
      <c r="V142" s="278">
        <v>6384</v>
      </c>
      <c r="W142" s="278">
        <v>5985</v>
      </c>
      <c r="X142" s="278">
        <v>5626</v>
      </c>
      <c r="Y142" s="5"/>
      <c r="Z142" s="216">
        <f t="shared" si="6"/>
        <v>0</v>
      </c>
      <c r="AA142" s="255">
        <f t="shared" si="7"/>
        <v>0</v>
      </c>
      <c r="AB142" s="194"/>
      <c r="AC142" s="195"/>
      <c r="AD142" s="196"/>
      <c r="AE142" s="196"/>
      <c r="AF142" s="168"/>
    </row>
    <row r="143" spans="2:32" s="169" customFormat="1">
      <c r="B143" s="239"/>
      <c r="C143" s="167" t="s">
        <v>524</v>
      </c>
      <c r="D143" s="252"/>
      <c r="E143" s="252"/>
      <c r="F143" s="252"/>
      <c r="G143" s="252"/>
      <c r="H143" s="252">
        <v>443</v>
      </c>
      <c r="I143" s="192" t="s">
        <v>17</v>
      </c>
      <c r="J143" s="192" t="s">
        <v>443</v>
      </c>
      <c r="K143" s="192" t="s">
        <v>8</v>
      </c>
      <c r="L143" s="192" t="s">
        <v>9</v>
      </c>
      <c r="M143" s="192" t="s">
        <v>142</v>
      </c>
      <c r="N143" s="251" t="s">
        <v>422</v>
      </c>
      <c r="O143" s="210" t="s">
        <v>38</v>
      </c>
      <c r="P143" s="210"/>
      <c r="Q143" s="210"/>
      <c r="R143" s="285" t="s">
        <v>438</v>
      </c>
      <c r="S143" s="193" t="s">
        <v>80</v>
      </c>
      <c r="T143" s="212">
        <v>1</v>
      </c>
      <c r="U143" s="215">
        <v>1898</v>
      </c>
      <c r="V143" s="278">
        <v>1840</v>
      </c>
      <c r="W143" s="278">
        <v>1725</v>
      </c>
      <c r="X143" s="278">
        <v>1622</v>
      </c>
      <c r="Y143" s="5"/>
      <c r="Z143" s="216">
        <f t="shared" si="6"/>
        <v>0</v>
      </c>
      <c r="AA143" s="255">
        <f t="shared" si="7"/>
        <v>0</v>
      </c>
      <c r="AB143" s="194"/>
      <c r="AC143" s="195"/>
      <c r="AD143" s="196"/>
      <c r="AE143" s="196"/>
      <c r="AF143" s="168" t="str">
        <f t="shared" ref="AF143:AF156" si="10">IF(Y143/T143=0,"",IF(MOD(Y143,T143)&gt;0,"ОШИБКА!!! неверная кратность на сорт",""))</f>
        <v/>
      </c>
    </row>
    <row r="144" spans="2:32" s="169" customFormat="1">
      <c r="B144" s="239"/>
      <c r="C144" s="167" t="s">
        <v>525</v>
      </c>
      <c r="D144" s="252"/>
      <c r="E144" s="252"/>
      <c r="F144" s="252"/>
      <c r="G144" s="252"/>
      <c r="H144" s="252">
        <v>168</v>
      </c>
      <c r="I144" s="192" t="s">
        <v>17</v>
      </c>
      <c r="J144" s="192" t="s">
        <v>443</v>
      </c>
      <c r="K144" s="192" t="s">
        <v>8</v>
      </c>
      <c r="L144" s="192" t="s">
        <v>9</v>
      </c>
      <c r="M144" s="192" t="s">
        <v>142</v>
      </c>
      <c r="N144" s="251" t="s">
        <v>422</v>
      </c>
      <c r="O144" s="210" t="s">
        <v>33</v>
      </c>
      <c r="P144" s="210"/>
      <c r="Q144" s="210"/>
      <c r="R144" s="285" t="s">
        <v>438</v>
      </c>
      <c r="S144" s="193" t="s">
        <v>80</v>
      </c>
      <c r="T144" s="212">
        <v>1</v>
      </c>
      <c r="U144" s="215">
        <v>2228</v>
      </c>
      <c r="V144" s="278">
        <v>2160</v>
      </c>
      <c r="W144" s="278">
        <v>2025</v>
      </c>
      <c r="X144" s="278">
        <v>1904</v>
      </c>
      <c r="Y144" s="5"/>
      <c r="Z144" s="216">
        <f t="shared" si="6"/>
        <v>0</v>
      </c>
      <c r="AA144" s="255">
        <f t="shared" si="7"/>
        <v>0</v>
      </c>
      <c r="AB144" s="194"/>
      <c r="AC144" s="195"/>
      <c r="AD144" s="196"/>
      <c r="AE144" s="196"/>
      <c r="AF144" s="168" t="str">
        <f t="shared" si="10"/>
        <v/>
      </c>
    </row>
    <row r="145" spans="2:32" s="169" customFormat="1">
      <c r="B145" s="239"/>
      <c r="C145" s="167" t="s">
        <v>386</v>
      </c>
      <c r="D145" s="252"/>
      <c r="E145" s="252"/>
      <c r="F145" s="252"/>
      <c r="G145" s="252"/>
      <c r="H145" s="252"/>
      <c r="I145" s="192" t="s">
        <v>17</v>
      </c>
      <c r="J145" s="287" t="s">
        <v>443</v>
      </c>
      <c r="K145" s="287" t="s">
        <v>8</v>
      </c>
      <c r="L145" s="287" t="s">
        <v>9</v>
      </c>
      <c r="M145" s="287" t="s">
        <v>175</v>
      </c>
      <c r="N145" s="291" t="s">
        <v>422</v>
      </c>
      <c r="O145" s="288" t="s">
        <v>35</v>
      </c>
      <c r="P145" s="288"/>
      <c r="Q145" s="288"/>
      <c r="R145" s="285" t="s">
        <v>438</v>
      </c>
      <c r="S145" s="193" t="s">
        <v>80</v>
      </c>
      <c r="T145" s="212">
        <v>1</v>
      </c>
      <c r="U145" s="215">
        <v>2449</v>
      </c>
      <c r="V145" s="278">
        <v>2375</v>
      </c>
      <c r="W145" s="278">
        <v>2226</v>
      </c>
      <c r="X145" s="278">
        <v>2093</v>
      </c>
      <c r="Y145" s="5"/>
      <c r="Z145" s="216">
        <f t="shared" si="6"/>
        <v>0</v>
      </c>
      <c r="AA145" s="255">
        <f t="shared" si="7"/>
        <v>0</v>
      </c>
      <c r="AB145" s="194" t="s">
        <v>305</v>
      </c>
      <c r="AC145" s="195"/>
      <c r="AD145" s="196"/>
      <c r="AE145" s="196"/>
      <c r="AF145" s="168" t="str">
        <f t="shared" si="10"/>
        <v/>
      </c>
    </row>
    <row r="146" spans="2:32" s="169" customFormat="1">
      <c r="B146" s="239"/>
      <c r="C146" s="167" t="s">
        <v>176</v>
      </c>
      <c r="D146" s="252">
        <v>3</v>
      </c>
      <c r="E146" s="252"/>
      <c r="F146" s="252"/>
      <c r="G146" s="252">
        <v>0</v>
      </c>
      <c r="H146" s="252"/>
      <c r="I146" s="192" t="s">
        <v>17</v>
      </c>
      <c r="J146" s="192" t="s">
        <v>443</v>
      </c>
      <c r="K146" s="192" t="s">
        <v>8</v>
      </c>
      <c r="L146" s="192" t="s">
        <v>9</v>
      </c>
      <c r="M146" s="192" t="s">
        <v>175</v>
      </c>
      <c r="N146" s="251" t="s">
        <v>422</v>
      </c>
      <c r="O146" s="210" t="s">
        <v>410</v>
      </c>
      <c r="P146" s="210"/>
      <c r="Q146" s="210"/>
      <c r="R146" s="265"/>
      <c r="S146" s="193" t="s">
        <v>80</v>
      </c>
      <c r="T146" s="212">
        <v>1</v>
      </c>
      <c r="U146" s="215">
        <v>2449</v>
      </c>
      <c r="V146" s="278">
        <v>2375</v>
      </c>
      <c r="W146" s="278">
        <v>2226</v>
      </c>
      <c r="X146" s="278">
        <v>2093</v>
      </c>
      <c r="Y146" s="5"/>
      <c r="Z146" s="216">
        <f t="shared" si="6"/>
        <v>0</v>
      </c>
      <c r="AA146" s="255">
        <f t="shared" si="7"/>
        <v>0</v>
      </c>
      <c r="AB146" s="194"/>
      <c r="AC146" s="195"/>
      <c r="AD146" s="196"/>
      <c r="AE146" s="196"/>
      <c r="AF146" s="168" t="str">
        <f t="shared" si="10"/>
        <v/>
      </c>
    </row>
    <row r="147" spans="2:32" s="169" customFormat="1">
      <c r="B147" s="239"/>
      <c r="C147" s="167" t="s">
        <v>369</v>
      </c>
      <c r="D147" s="252"/>
      <c r="E147" s="252"/>
      <c r="F147" s="252"/>
      <c r="G147" s="252"/>
      <c r="H147" s="252"/>
      <c r="I147" s="192" t="s">
        <v>17</v>
      </c>
      <c r="J147" s="287" t="s">
        <v>443</v>
      </c>
      <c r="K147" s="287" t="s">
        <v>8</v>
      </c>
      <c r="L147" s="287" t="s">
        <v>9</v>
      </c>
      <c r="M147" s="287" t="s">
        <v>175</v>
      </c>
      <c r="N147" s="291" t="s">
        <v>422</v>
      </c>
      <c r="O147" s="288" t="s">
        <v>58</v>
      </c>
      <c r="P147" s="288"/>
      <c r="Q147" s="288"/>
      <c r="R147" s="285" t="s">
        <v>438</v>
      </c>
      <c r="S147" s="193" t="s">
        <v>80</v>
      </c>
      <c r="T147" s="212">
        <v>1</v>
      </c>
      <c r="U147" s="215">
        <v>2652</v>
      </c>
      <c r="V147" s="278">
        <v>2572</v>
      </c>
      <c r="W147" s="278">
        <v>2411</v>
      </c>
      <c r="X147" s="278">
        <v>2266</v>
      </c>
      <c r="Y147" s="5"/>
      <c r="Z147" s="216">
        <f t="shared" si="6"/>
        <v>0</v>
      </c>
      <c r="AA147" s="255">
        <f t="shared" si="7"/>
        <v>0</v>
      </c>
      <c r="AB147" s="194" t="s">
        <v>305</v>
      </c>
      <c r="AC147" s="195"/>
      <c r="AD147" s="196"/>
      <c r="AE147" s="196"/>
      <c r="AF147" s="168" t="str">
        <f t="shared" si="10"/>
        <v/>
      </c>
    </row>
    <row r="148" spans="2:32" s="169" customFormat="1">
      <c r="B148" s="239"/>
      <c r="C148" s="167" t="s">
        <v>177</v>
      </c>
      <c r="D148" s="252">
        <v>3</v>
      </c>
      <c r="E148" s="252"/>
      <c r="F148" s="252"/>
      <c r="G148" s="252">
        <v>0</v>
      </c>
      <c r="H148" s="252"/>
      <c r="I148" s="192" t="s">
        <v>17</v>
      </c>
      <c r="J148" s="192" t="s">
        <v>443</v>
      </c>
      <c r="K148" s="192" t="s">
        <v>8</v>
      </c>
      <c r="L148" s="192" t="s">
        <v>9</v>
      </c>
      <c r="M148" s="192" t="s">
        <v>175</v>
      </c>
      <c r="N148" s="251" t="s">
        <v>422</v>
      </c>
      <c r="O148" s="210" t="s">
        <v>58</v>
      </c>
      <c r="P148" s="210"/>
      <c r="Q148" s="210"/>
      <c r="R148" s="265"/>
      <c r="S148" s="193" t="s">
        <v>80</v>
      </c>
      <c r="T148" s="212">
        <v>1</v>
      </c>
      <c r="U148" s="215">
        <v>2652</v>
      </c>
      <c r="V148" s="278">
        <v>2572</v>
      </c>
      <c r="W148" s="278">
        <v>2411</v>
      </c>
      <c r="X148" s="278">
        <v>2266</v>
      </c>
      <c r="Y148" s="5"/>
      <c r="Z148" s="216">
        <f t="shared" si="6"/>
        <v>0</v>
      </c>
      <c r="AA148" s="255">
        <f t="shared" si="7"/>
        <v>0</v>
      </c>
      <c r="AB148" s="194"/>
      <c r="AC148" s="195"/>
      <c r="AD148" s="196"/>
      <c r="AE148" s="196"/>
      <c r="AF148" s="168" t="str">
        <f t="shared" si="10"/>
        <v/>
      </c>
    </row>
    <row r="149" spans="2:32" s="169" customFormat="1">
      <c r="B149" s="239"/>
      <c r="C149" s="167" t="s">
        <v>387</v>
      </c>
      <c r="D149" s="252">
        <v>17</v>
      </c>
      <c r="E149" s="252"/>
      <c r="F149" s="252"/>
      <c r="G149" s="252">
        <v>0</v>
      </c>
      <c r="H149" s="252"/>
      <c r="I149" s="192" t="s">
        <v>17</v>
      </c>
      <c r="J149" s="192" t="s">
        <v>443</v>
      </c>
      <c r="K149" s="192" t="s">
        <v>8</v>
      </c>
      <c r="L149" s="192" t="s">
        <v>9</v>
      </c>
      <c r="M149" s="192" t="s">
        <v>175</v>
      </c>
      <c r="N149" s="251" t="s">
        <v>422</v>
      </c>
      <c r="O149" s="210" t="s">
        <v>411</v>
      </c>
      <c r="P149" s="210"/>
      <c r="Q149" s="210"/>
      <c r="R149" s="285" t="s">
        <v>438</v>
      </c>
      <c r="S149" s="193" t="s">
        <v>80</v>
      </c>
      <c r="T149" s="212">
        <v>1</v>
      </c>
      <c r="U149" s="215">
        <v>3236</v>
      </c>
      <c r="V149" s="278">
        <v>3138</v>
      </c>
      <c r="W149" s="278">
        <v>2942</v>
      </c>
      <c r="X149" s="278">
        <v>2766</v>
      </c>
      <c r="Y149" s="5"/>
      <c r="Z149" s="216">
        <f t="shared" si="6"/>
        <v>0</v>
      </c>
      <c r="AA149" s="255">
        <f t="shared" si="7"/>
        <v>0</v>
      </c>
      <c r="AB149" s="194"/>
      <c r="AC149" s="195"/>
      <c r="AD149" s="196"/>
      <c r="AE149" s="196"/>
      <c r="AF149" s="168" t="str">
        <f t="shared" si="10"/>
        <v/>
      </c>
    </row>
    <row r="150" spans="2:32" s="169" customFormat="1">
      <c r="B150" s="239"/>
      <c r="C150" s="167" t="s">
        <v>388</v>
      </c>
      <c r="D150" s="252">
        <v>1</v>
      </c>
      <c r="E150" s="252"/>
      <c r="F150" s="252"/>
      <c r="G150" s="252">
        <v>0</v>
      </c>
      <c r="H150" s="252"/>
      <c r="I150" s="192" t="s">
        <v>17</v>
      </c>
      <c r="J150" s="192" t="s">
        <v>443</v>
      </c>
      <c r="K150" s="192" t="s">
        <v>8</v>
      </c>
      <c r="L150" s="192" t="s">
        <v>9</v>
      </c>
      <c r="M150" s="192" t="s">
        <v>182</v>
      </c>
      <c r="N150" s="251" t="s">
        <v>422</v>
      </c>
      <c r="O150" s="210" t="s">
        <v>35</v>
      </c>
      <c r="P150" s="210"/>
      <c r="Q150" s="210"/>
      <c r="R150" s="285" t="s">
        <v>438</v>
      </c>
      <c r="S150" s="193" t="s">
        <v>80</v>
      </c>
      <c r="T150" s="212">
        <v>1</v>
      </c>
      <c r="U150" s="215">
        <v>2972</v>
      </c>
      <c r="V150" s="278">
        <v>2882</v>
      </c>
      <c r="W150" s="278">
        <v>2702</v>
      </c>
      <c r="X150" s="278">
        <v>2540</v>
      </c>
      <c r="Y150" s="5"/>
      <c r="Z150" s="216">
        <f t="shared" ref="Z150:Z198" si="11">U150*Y150</f>
        <v>0</v>
      </c>
      <c r="AA150" s="255">
        <f t="shared" ref="AA150:AA198" si="12">IF(V150&lt;&gt;"",IF(AND($Z$19&gt;=200000,Y150&gt;=20),Y150*X150,IF(AND($Z$19&gt;=200000,Y150&lt;20),Y150*W150,IF(AND($Z$19&lt;200000,Y150&gt;=20),Y150*V150,Y150*U150))),IF($Z$19&gt;=200000,Y150*W150,Y150*U150))</f>
        <v>0</v>
      </c>
      <c r="AB150" s="194"/>
      <c r="AC150" s="195"/>
      <c r="AD150" s="196"/>
      <c r="AE150" s="196"/>
      <c r="AF150" s="168" t="str">
        <f t="shared" si="10"/>
        <v/>
      </c>
    </row>
    <row r="151" spans="2:32" s="169" customFormat="1">
      <c r="B151" s="239"/>
      <c r="C151" s="167" t="s">
        <v>389</v>
      </c>
      <c r="D151" s="252"/>
      <c r="E151" s="252"/>
      <c r="F151" s="252"/>
      <c r="G151" s="252"/>
      <c r="H151" s="252"/>
      <c r="I151" s="192" t="s">
        <v>17</v>
      </c>
      <c r="J151" s="287" t="s">
        <v>443</v>
      </c>
      <c r="K151" s="287" t="s">
        <v>8</v>
      </c>
      <c r="L151" s="287" t="s">
        <v>9</v>
      </c>
      <c r="M151" s="287" t="s">
        <v>182</v>
      </c>
      <c r="N151" s="291" t="s">
        <v>422</v>
      </c>
      <c r="O151" s="288" t="s">
        <v>411</v>
      </c>
      <c r="P151" s="288"/>
      <c r="Q151" s="288"/>
      <c r="R151" s="285" t="s">
        <v>438</v>
      </c>
      <c r="S151" s="193" t="s">
        <v>80</v>
      </c>
      <c r="T151" s="212">
        <v>1</v>
      </c>
      <c r="U151" s="215">
        <v>3398</v>
      </c>
      <c r="V151" s="278">
        <v>3295</v>
      </c>
      <c r="W151" s="278">
        <v>3089</v>
      </c>
      <c r="X151" s="278">
        <v>2904</v>
      </c>
      <c r="Y151" s="5"/>
      <c r="Z151" s="216">
        <f t="shared" si="11"/>
        <v>0</v>
      </c>
      <c r="AA151" s="255">
        <f t="shared" si="12"/>
        <v>0</v>
      </c>
      <c r="AB151" s="194" t="s">
        <v>305</v>
      </c>
      <c r="AC151" s="195"/>
      <c r="AD151" s="196"/>
      <c r="AE151" s="196"/>
      <c r="AF151" s="168" t="str">
        <f t="shared" si="10"/>
        <v/>
      </c>
    </row>
    <row r="152" spans="2:32" s="169" customFormat="1">
      <c r="B152" s="239"/>
      <c r="C152" s="167" t="s">
        <v>181</v>
      </c>
      <c r="D152" s="252">
        <v>4</v>
      </c>
      <c r="E152" s="252"/>
      <c r="F152" s="252"/>
      <c r="G152" s="252">
        <v>0</v>
      </c>
      <c r="H152" s="252"/>
      <c r="I152" s="192" t="s">
        <v>17</v>
      </c>
      <c r="J152" s="192" t="s">
        <v>443</v>
      </c>
      <c r="K152" s="192" t="s">
        <v>8</v>
      </c>
      <c r="L152" s="192" t="s">
        <v>9</v>
      </c>
      <c r="M152" s="192" t="s">
        <v>182</v>
      </c>
      <c r="N152" s="251" t="s">
        <v>422</v>
      </c>
      <c r="O152" s="210" t="s">
        <v>412</v>
      </c>
      <c r="P152" s="210"/>
      <c r="Q152" s="210"/>
      <c r="R152" s="265"/>
      <c r="S152" s="193" t="s">
        <v>80</v>
      </c>
      <c r="T152" s="212">
        <v>1</v>
      </c>
      <c r="U152" s="215">
        <v>4564</v>
      </c>
      <c r="V152" s="278">
        <v>4426</v>
      </c>
      <c r="W152" s="278">
        <v>4149</v>
      </c>
      <c r="X152" s="278">
        <v>3901</v>
      </c>
      <c r="Y152" s="5"/>
      <c r="Z152" s="216">
        <f t="shared" si="11"/>
        <v>0</v>
      </c>
      <c r="AA152" s="255">
        <f t="shared" si="12"/>
        <v>0</v>
      </c>
      <c r="AB152" s="194"/>
      <c r="AC152" s="195"/>
      <c r="AD152" s="196"/>
      <c r="AE152" s="196"/>
      <c r="AF152" s="168" t="str">
        <f t="shared" si="10"/>
        <v/>
      </c>
    </row>
    <row r="153" spans="2:32" s="169" customFormat="1">
      <c r="B153" s="239"/>
      <c r="C153" s="167" t="s">
        <v>327</v>
      </c>
      <c r="D153" s="252">
        <v>253</v>
      </c>
      <c r="E153" s="252"/>
      <c r="F153" s="252"/>
      <c r="G153" s="252">
        <v>14</v>
      </c>
      <c r="H153" s="252"/>
      <c r="I153" s="192" t="s">
        <v>17</v>
      </c>
      <c r="J153" s="192" t="s">
        <v>443</v>
      </c>
      <c r="K153" s="192" t="s">
        <v>8</v>
      </c>
      <c r="L153" s="192" t="s">
        <v>9</v>
      </c>
      <c r="M153" s="192" t="s">
        <v>182</v>
      </c>
      <c r="N153" s="251" t="s">
        <v>422</v>
      </c>
      <c r="O153" s="210" t="s">
        <v>412</v>
      </c>
      <c r="P153" s="210"/>
      <c r="Q153" s="210"/>
      <c r="R153" s="285" t="s">
        <v>438</v>
      </c>
      <c r="S153" s="193" t="s">
        <v>80</v>
      </c>
      <c r="T153" s="212">
        <v>1</v>
      </c>
      <c r="U153" s="215">
        <v>4564</v>
      </c>
      <c r="V153" s="278">
        <v>4426</v>
      </c>
      <c r="W153" s="278">
        <v>4149</v>
      </c>
      <c r="X153" s="278">
        <v>3901</v>
      </c>
      <c r="Y153" s="5"/>
      <c r="Z153" s="216">
        <f t="shared" si="11"/>
        <v>0</v>
      </c>
      <c r="AA153" s="255">
        <f t="shared" si="12"/>
        <v>0</v>
      </c>
      <c r="AB153" s="194"/>
      <c r="AC153" s="195"/>
      <c r="AD153" s="196"/>
      <c r="AE153" s="196"/>
      <c r="AF153" s="168" t="str">
        <f t="shared" si="10"/>
        <v/>
      </c>
    </row>
    <row r="154" spans="2:32" s="169" customFormat="1">
      <c r="B154" s="239"/>
      <c r="C154" s="167" t="s">
        <v>328</v>
      </c>
      <c r="D154" s="252">
        <v>538</v>
      </c>
      <c r="E154" s="252"/>
      <c r="F154" s="252"/>
      <c r="G154" s="252">
        <v>19</v>
      </c>
      <c r="H154" s="252"/>
      <c r="I154" s="192" t="s">
        <v>17</v>
      </c>
      <c r="J154" s="192" t="s">
        <v>443</v>
      </c>
      <c r="K154" s="192" t="s">
        <v>8</v>
      </c>
      <c r="L154" s="192" t="s">
        <v>9</v>
      </c>
      <c r="M154" s="192" t="s">
        <v>182</v>
      </c>
      <c r="N154" s="251" t="s">
        <v>422</v>
      </c>
      <c r="O154" s="210" t="s">
        <v>407</v>
      </c>
      <c r="P154" s="210"/>
      <c r="Q154" s="210"/>
      <c r="R154" s="285" t="s">
        <v>438</v>
      </c>
      <c r="S154" s="193" t="s">
        <v>80</v>
      </c>
      <c r="T154" s="212">
        <v>1</v>
      </c>
      <c r="U154" s="215">
        <v>5734</v>
      </c>
      <c r="V154" s="278">
        <v>5560</v>
      </c>
      <c r="W154" s="278">
        <v>5213</v>
      </c>
      <c r="X154" s="278">
        <v>4900</v>
      </c>
      <c r="Y154" s="5"/>
      <c r="Z154" s="216">
        <f t="shared" si="11"/>
        <v>0</v>
      </c>
      <c r="AA154" s="255">
        <f t="shared" si="12"/>
        <v>0</v>
      </c>
      <c r="AB154" s="194"/>
      <c r="AC154" s="195"/>
      <c r="AD154" s="196"/>
      <c r="AE154" s="196"/>
      <c r="AF154" s="168" t="str">
        <f t="shared" si="10"/>
        <v/>
      </c>
    </row>
    <row r="155" spans="2:32" s="169" customFormat="1">
      <c r="B155" s="239"/>
      <c r="C155" s="167" t="s">
        <v>390</v>
      </c>
      <c r="D155" s="252">
        <v>56</v>
      </c>
      <c r="E155" s="252"/>
      <c r="F155" s="252"/>
      <c r="G155" s="252">
        <v>0</v>
      </c>
      <c r="H155" s="252"/>
      <c r="I155" s="192" t="s">
        <v>17</v>
      </c>
      <c r="J155" s="192" t="s">
        <v>443</v>
      </c>
      <c r="K155" s="192" t="s">
        <v>8</v>
      </c>
      <c r="L155" s="192" t="s">
        <v>9</v>
      </c>
      <c r="M155" s="192" t="s">
        <v>182</v>
      </c>
      <c r="N155" s="251" t="s">
        <v>422</v>
      </c>
      <c r="O155" s="210" t="s">
        <v>416</v>
      </c>
      <c r="P155" s="210"/>
      <c r="Q155" s="210"/>
      <c r="R155" s="285" t="s">
        <v>438</v>
      </c>
      <c r="S155" s="193" t="s">
        <v>80</v>
      </c>
      <c r="T155" s="212">
        <v>1</v>
      </c>
      <c r="U155" s="215">
        <v>8076</v>
      </c>
      <c r="V155" s="278">
        <v>7831</v>
      </c>
      <c r="W155" s="278">
        <v>7341</v>
      </c>
      <c r="X155" s="278">
        <v>6901</v>
      </c>
      <c r="Y155" s="5"/>
      <c r="Z155" s="216">
        <f t="shared" si="11"/>
        <v>0</v>
      </c>
      <c r="AA155" s="255">
        <f t="shared" si="12"/>
        <v>0</v>
      </c>
      <c r="AB155" s="194"/>
      <c r="AC155" s="195"/>
      <c r="AD155" s="196"/>
      <c r="AE155" s="196"/>
      <c r="AF155" s="168" t="str">
        <f t="shared" si="10"/>
        <v/>
      </c>
    </row>
    <row r="156" spans="2:32" s="169" customFormat="1">
      <c r="B156" s="239"/>
      <c r="C156" s="167" t="s">
        <v>329</v>
      </c>
      <c r="D156" s="252"/>
      <c r="E156" s="252"/>
      <c r="F156" s="252"/>
      <c r="G156" s="252"/>
      <c r="H156" s="252"/>
      <c r="I156" s="192" t="s">
        <v>17</v>
      </c>
      <c r="J156" s="287" t="s">
        <v>443</v>
      </c>
      <c r="K156" s="287" t="s">
        <v>8</v>
      </c>
      <c r="L156" s="287" t="s">
        <v>9</v>
      </c>
      <c r="M156" s="287" t="s">
        <v>182</v>
      </c>
      <c r="N156" s="291" t="s">
        <v>422</v>
      </c>
      <c r="O156" s="288" t="s">
        <v>417</v>
      </c>
      <c r="P156" s="288"/>
      <c r="Q156" s="288"/>
      <c r="R156" s="285" t="s">
        <v>438</v>
      </c>
      <c r="S156" s="193" t="s">
        <v>80</v>
      </c>
      <c r="T156" s="212">
        <v>1</v>
      </c>
      <c r="U156" s="215">
        <v>8076</v>
      </c>
      <c r="V156" s="278">
        <v>7831</v>
      </c>
      <c r="W156" s="278">
        <v>7341</v>
      </c>
      <c r="X156" s="278">
        <v>6901</v>
      </c>
      <c r="Y156" s="5"/>
      <c r="Z156" s="216">
        <f t="shared" si="11"/>
        <v>0</v>
      </c>
      <c r="AA156" s="255">
        <f t="shared" si="12"/>
        <v>0</v>
      </c>
      <c r="AB156" s="194" t="s">
        <v>305</v>
      </c>
      <c r="AC156" s="195"/>
      <c r="AD156" s="196"/>
      <c r="AE156" s="196"/>
      <c r="AF156" s="168" t="str">
        <f t="shared" si="10"/>
        <v/>
      </c>
    </row>
    <row r="157" spans="2:32" s="169" customFormat="1">
      <c r="B157" s="239"/>
      <c r="C157" s="167" t="s">
        <v>491</v>
      </c>
      <c r="D157" s="252"/>
      <c r="E157" s="252"/>
      <c r="F157" s="252"/>
      <c r="G157" s="252"/>
      <c r="H157" s="252">
        <v>90</v>
      </c>
      <c r="I157" s="192" t="s">
        <v>17</v>
      </c>
      <c r="J157" s="192" t="s">
        <v>443</v>
      </c>
      <c r="K157" s="192" t="s">
        <v>8</v>
      </c>
      <c r="L157" s="192" t="s">
        <v>9</v>
      </c>
      <c r="M157" s="192" t="s">
        <v>182</v>
      </c>
      <c r="N157" s="251" t="s">
        <v>422</v>
      </c>
      <c r="O157" s="210" t="s">
        <v>413</v>
      </c>
      <c r="P157" s="288"/>
      <c r="Q157" s="288"/>
      <c r="R157" s="285"/>
      <c r="S157" s="193" t="s">
        <v>80</v>
      </c>
      <c r="T157" s="212">
        <v>1</v>
      </c>
      <c r="U157" s="215">
        <v>8069</v>
      </c>
      <c r="V157" s="278">
        <v>7824</v>
      </c>
      <c r="W157" s="278">
        <v>7335</v>
      </c>
      <c r="X157" s="278">
        <v>6895</v>
      </c>
      <c r="Y157" s="5"/>
      <c r="Z157" s="216">
        <f t="shared" si="11"/>
        <v>0</v>
      </c>
      <c r="AA157" s="255">
        <f t="shared" si="12"/>
        <v>0</v>
      </c>
      <c r="AB157" s="194"/>
      <c r="AC157" s="195"/>
      <c r="AD157" s="196"/>
      <c r="AE157" s="196"/>
      <c r="AF157" s="168"/>
    </row>
    <row r="158" spans="2:32" s="169" customFormat="1">
      <c r="B158" s="239"/>
      <c r="C158" s="167" t="s">
        <v>492</v>
      </c>
      <c r="D158" s="252"/>
      <c r="E158" s="252"/>
      <c r="F158" s="252"/>
      <c r="G158" s="252"/>
      <c r="H158" s="252">
        <v>196</v>
      </c>
      <c r="I158" s="192" t="s">
        <v>17</v>
      </c>
      <c r="J158" s="192" t="s">
        <v>443</v>
      </c>
      <c r="K158" s="192" t="s">
        <v>8</v>
      </c>
      <c r="L158" s="192" t="s">
        <v>9</v>
      </c>
      <c r="M158" s="192" t="s">
        <v>182</v>
      </c>
      <c r="N158" s="251" t="s">
        <v>422</v>
      </c>
      <c r="O158" s="210" t="s">
        <v>408</v>
      </c>
      <c r="P158" s="288"/>
      <c r="Q158" s="288"/>
      <c r="R158" s="285"/>
      <c r="S158" s="193" t="s">
        <v>80</v>
      </c>
      <c r="T158" s="212">
        <v>1</v>
      </c>
      <c r="U158" s="215">
        <v>8663</v>
      </c>
      <c r="V158" s="278">
        <v>8400</v>
      </c>
      <c r="W158" s="278">
        <v>7875</v>
      </c>
      <c r="X158" s="278">
        <v>7403</v>
      </c>
      <c r="Y158" s="5"/>
      <c r="Z158" s="216">
        <f t="shared" si="11"/>
        <v>0</v>
      </c>
      <c r="AA158" s="255">
        <f t="shared" si="12"/>
        <v>0</v>
      </c>
      <c r="AB158" s="194"/>
      <c r="AC158" s="195"/>
      <c r="AD158" s="196"/>
      <c r="AE158" s="196"/>
      <c r="AF158" s="168"/>
    </row>
    <row r="159" spans="2:32" s="169" customFormat="1">
      <c r="B159" s="239"/>
      <c r="C159" s="167" t="s">
        <v>493</v>
      </c>
      <c r="D159" s="252"/>
      <c r="E159" s="252"/>
      <c r="F159" s="252"/>
      <c r="G159" s="252"/>
      <c r="H159" s="252">
        <v>17</v>
      </c>
      <c r="I159" s="192" t="s">
        <v>17</v>
      </c>
      <c r="J159" s="192" t="s">
        <v>443</v>
      </c>
      <c r="K159" s="192" t="s">
        <v>8</v>
      </c>
      <c r="L159" s="192" t="s">
        <v>9</v>
      </c>
      <c r="M159" s="192" t="s">
        <v>182</v>
      </c>
      <c r="N159" s="251" t="s">
        <v>422</v>
      </c>
      <c r="O159" s="210" t="s">
        <v>458</v>
      </c>
      <c r="P159" s="288"/>
      <c r="Q159" s="288"/>
      <c r="R159" s="285"/>
      <c r="S159" s="193" t="s">
        <v>80</v>
      </c>
      <c r="T159" s="212">
        <v>1</v>
      </c>
      <c r="U159" s="215">
        <v>9554</v>
      </c>
      <c r="V159" s="278">
        <v>9264</v>
      </c>
      <c r="W159" s="278">
        <v>8685</v>
      </c>
      <c r="X159" s="278">
        <v>8164</v>
      </c>
      <c r="Y159" s="5"/>
      <c r="Z159" s="216">
        <f t="shared" si="11"/>
        <v>0</v>
      </c>
      <c r="AA159" s="255">
        <f t="shared" si="12"/>
        <v>0</v>
      </c>
      <c r="AB159" s="194"/>
      <c r="AC159" s="195"/>
      <c r="AD159" s="196"/>
      <c r="AE159" s="196"/>
      <c r="AF159" s="168"/>
    </row>
    <row r="160" spans="2:32" s="169" customFormat="1">
      <c r="B160" s="239"/>
      <c r="C160" s="167" t="s">
        <v>495</v>
      </c>
      <c r="D160" s="252"/>
      <c r="E160" s="252"/>
      <c r="F160" s="252"/>
      <c r="G160" s="252"/>
      <c r="H160" s="252">
        <v>1</v>
      </c>
      <c r="I160" s="192" t="s">
        <v>17</v>
      </c>
      <c r="J160" s="192" t="s">
        <v>443</v>
      </c>
      <c r="K160" s="192" t="s">
        <v>8</v>
      </c>
      <c r="L160" s="192" t="s">
        <v>9</v>
      </c>
      <c r="M160" s="192" t="s">
        <v>494</v>
      </c>
      <c r="N160" s="251" t="s">
        <v>422</v>
      </c>
      <c r="O160" s="210" t="s">
        <v>33</v>
      </c>
      <c r="P160" s="288"/>
      <c r="Q160" s="288"/>
      <c r="R160" s="285"/>
      <c r="S160" s="193" t="s">
        <v>80</v>
      </c>
      <c r="T160" s="212">
        <v>1</v>
      </c>
      <c r="U160" s="215">
        <v>6683</v>
      </c>
      <c r="V160" s="278">
        <v>6480</v>
      </c>
      <c r="W160" s="278">
        <v>6075</v>
      </c>
      <c r="X160" s="278">
        <v>5711</v>
      </c>
      <c r="Y160" s="5"/>
      <c r="Z160" s="216">
        <f t="shared" si="11"/>
        <v>0</v>
      </c>
      <c r="AA160" s="255">
        <f t="shared" si="12"/>
        <v>0</v>
      </c>
      <c r="AB160" s="194"/>
      <c r="AC160" s="195"/>
      <c r="AD160" s="196"/>
      <c r="AE160" s="196"/>
      <c r="AF160" s="168"/>
    </row>
    <row r="161" spans="2:32" s="169" customFormat="1">
      <c r="B161" s="239"/>
      <c r="C161" s="167" t="s">
        <v>496</v>
      </c>
      <c r="D161" s="252"/>
      <c r="E161" s="252"/>
      <c r="F161" s="252"/>
      <c r="G161" s="252"/>
      <c r="H161" s="252">
        <v>5</v>
      </c>
      <c r="I161" s="192" t="s">
        <v>17</v>
      </c>
      <c r="J161" s="192" t="s">
        <v>443</v>
      </c>
      <c r="K161" s="192" t="s">
        <v>8</v>
      </c>
      <c r="L161" s="192" t="s">
        <v>9</v>
      </c>
      <c r="M161" s="192" t="s">
        <v>494</v>
      </c>
      <c r="N161" s="251" t="s">
        <v>422</v>
      </c>
      <c r="O161" s="210" t="s">
        <v>35</v>
      </c>
      <c r="P161" s="288"/>
      <c r="Q161" s="288"/>
      <c r="R161" s="285"/>
      <c r="S161" s="193" t="s">
        <v>80</v>
      </c>
      <c r="T161" s="212">
        <v>1</v>
      </c>
      <c r="U161" s="215">
        <v>7425</v>
      </c>
      <c r="V161" s="278">
        <v>7200</v>
      </c>
      <c r="W161" s="278">
        <v>6750</v>
      </c>
      <c r="X161" s="278">
        <v>6345</v>
      </c>
      <c r="Y161" s="5"/>
      <c r="Z161" s="216">
        <f t="shared" si="11"/>
        <v>0</v>
      </c>
      <c r="AA161" s="255">
        <f t="shared" si="12"/>
        <v>0</v>
      </c>
      <c r="AB161" s="194"/>
      <c r="AC161" s="195"/>
      <c r="AD161" s="196"/>
      <c r="AE161" s="196"/>
      <c r="AF161" s="168"/>
    </row>
    <row r="162" spans="2:32" s="169" customFormat="1">
      <c r="B162" s="239"/>
      <c r="C162" s="167" t="s">
        <v>497</v>
      </c>
      <c r="D162" s="252"/>
      <c r="E162" s="252"/>
      <c r="F162" s="252"/>
      <c r="G162" s="252"/>
      <c r="H162" s="252">
        <v>7</v>
      </c>
      <c r="I162" s="192" t="s">
        <v>17</v>
      </c>
      <c r="J162" s="192" t="s">
        <v>443</v>
      </c>
      <c r="K162" s="192" t="s">
        <v>8</v>
      </c>
      <c r="L162" s="192" t="s">
        <v>9</v>
      </c>
      <c r="M162" s="192" t="s">
        <v>494</v>
      </c>
      <c r="N162" s="251" t="s">
        <v>422</v>
      </c>
      <c r="O162" s="210" t="s">
        <v>410</v>
      </c>
      <c r="P162" s="288"/>
      <c r="Q162" s="288"/>
      <c r="R162" s="285"/>
      <c r="S162" s="193" t="s">
        <v>80</v>
      </c>
      <c r="T162" s="212">
        <v>1</v>
      </c>
      <c r="U162" s="215">
        <v>8234</v>
      </c>
      <c r="V162" s="278">
        <v>7984</v>
      </c>
      <c r="W162" s="278">
        <v>7485</v>
      </c>
      <c r="X162" s="278">
        <v>7036</v>
      </c>
      <c r="Y162" s="5"/>
      <c r="Z162" s="216">
        <f t="shared" si="11"/>
        <v>0</v>
      </c>
      <c r="AA162" s="255">
        <f t="shared" si="12"/>
        <v>0</v>
      </c>
      <c r="AB162" s="194"/>
      <c r="AC162" s="195"/>
      <c r="AD162" s="196"/>
      <c r="AE162" s="196"/>
      <c r="AF162" s="168"/>
    </row>
    <row r="163" spans="2:32" s="169" customFormat="1">
      <c r="B163" s="239"/>
      <c r="C163" s="167" t="s">
        <v>354</v>
      </c>
      <c r="D163" s="252"/>
      <c r="E163" s="252"/>
      <c r="F163" s="252"/>
      <c r="G163" s="252"/>
      <c r="H163" s="252"/>
      <c r="I163" s="192" t="s">
        <v>17</v>
      </c>
      <c r="J163" s="287" t="s">
        <v>443</v>
      </c>
      <c r="K163" s="287" t="s">
        <v>8</v>
      </c>
      <c r="L163" s="287" t="s">
        <v>9</v>
      </c>
      <c r="M163" s="287" t="s">
        <v>190</v>
      </c>
      <c r="N163" s="291" t="s">
        <v>422</v>
      </c>
      <c r="O163" s="288" t="s">
        <v>38</v>
      </c>
      <c r="P163" s="288"/>
      <c r="Q163" s="288"/>
      <c r="R163" s="265"/>
      <c r="S163" s="193" t="s">
        <v>80</v>
      </c>
      <c r="T163" s="212">
        <v>1</v>
      </c>
      <c r="U163" s="215">
        <v>2970</v>
      </c>
      <c r="V163" s="278">
        <v>2880</v>
      </c>
      <c r="W163" s="278">
        <v>2700</v>
      </c>
      <c r="X163" s="278">
        <v>2538</v>
      </c>
      <c r="Y163" s="5"/>
      <c r="Z163" s="216">
        <f t="shared" si="11"/>
        <v>0</v>
      </c>
      <c r="AA163" s="255">
        <f t="shared" si="12"/>
        <v>0</v>
      </c>
      <c r="AB163" s="194" t="s">
        <v>305</v>
      </c>
      <c r="AC163" s="195"/>
      <c r="AD163" s="196"/>
      <c r="AE163" s="196"/>
      <c r="AF163" s="168" t="str">
        <f t="shared" ref="AF163:AF180" si="13">IF(Y163/T163=0,"",IF(MOD(Y163,T163)&gt;0,"ОШИБКА!!! неверная кратность на сорт",""))</f>
        <v/>
      </c>
    </row>
    <row r="164" spans="2:32" s="169" customFormat="1">
      <c r="B164" s="239"/>
      <c r="C164" s="167" t="s">
        <v>355</v>
      </c>
      <c r="D164" s="252"/>
      <c r="E164" s="252"/>
      <c r="F164" s="252"/>
      <c r="G164" s="252"/>
      <c r="H164" s="252"/>
      <c r="I164" s="192" t="s">
        <v>17</v>
      </c>
      <c r="J164" s="287" t="s">
        <v>443</v>
      </c>
      <c r="K164" s="287" t="s">
        <v>8</v>
      </c>
      <c r="L164" s="287" t="s">
        <v>9</v>
      </c>
      <c r="M164" s="287" t="s">
        <v>190</v>
      </c>
      <c r="N164" s="291" t="s">
        <v>422</v>
      </c>
      <c r="O164" s="288" t="s">
        <v>33</v>
      </c>
      <c r="P164" s="288"/>
      <c r="Q164" s="288"/>
      <c r="R164" s="265"/>
      <c r="S164" s="193" t="s">
        <v>80</v>
      </c>
      <c r="T164" s="212">
        <v>1</v>
      </c>
      <c r="U164" s="215">
        <v>4158</v>
      </c>
      <c r="V164" s="278">
        <v>4032</v>
      </c>
      <c r="W164" s="278">
        <v>3780</v>
      </c>
      <c r="X164" s="278">
        <v>3554</v>
      </c>
      <c r="Y164" s="5"/>
      <c r="Z164" s="216">
        <f t="shared" si="11"/>
        <v>0</v>
      </c>
      <c r="AA164" s="255">
        <f t="shared" si="12"/>
        <v>0</v>
      </c>
      <c r="AB164" s="194" t="s">
        <v>305</v>
      </c>
      <c r="AC164" s="195"/>
      <c r="AD164" s="196"/>
      <c r="AE164" s="196"/>
      <c r="AF164" s="168" t="str">
        <f t="shared" si="13"/>
        <v/>
      </c>
    </row>
    <row r="165" spans="2:32" s="169" customFormat="1">
      <c r="B165" s="239"/>
      <c r="C165" s="167" t="s">
        <v>291</v>
      </c>
      <c r="D165" s="252">
        <v>2</v>
      </c>
      <c r="E165" s="252"/>
      <c r="F165" s="252"/>
      <c r="G165" s="252">
        <v>0</v>
      </c>
      <c r="H165" s="252">
        <v>33</v>
      </c>
      <c r="I165" s="192" t="s">
        <v>17</v>
      </c>
      <c r="J165" s="192" t="s">
        <v>443</v>
      </c>
      <c r="K165" s="192" t="s">
        <v>8</v>
      </c>
      <c r="L165" s="192" t="s">
        <v>9</v>
      </c>
      <c r="M165" s="192" t="s">
        <v>218</v>
      </c>
      <c r="N165" s="251" t="s">
        <v>422</v>
      </c>
      <c r="O165" s="210" t="s">
        <v>33</v>
      </c>
      <c r="P165" s="210"/>
      <c r="Q165" s="210"/>
      <c r="R165" s="265"/>
      <c r="S165" s="193" t="s">
        <v>80</v>
      </c>
      <c r="T165" s="212">
        <v>1</v>
      </c>
      <c r="U165" s="215">
        <v>1929</v>
      </c>
      <c r="V165" s="278">
        <v>1871</v>
      </c>
      <c r="W165" s="278">
        <v>1754</v>
      </c>
      <c r="X165" s="278">
        <v>1649</v>
      </c>
      <c r="Y165" s="5"/>
      <c r="Z165" s="216">
        <f t="shared" si="11"/>
        <v>0</v>
      </c>
      <c r="AA165" s="255">
        <f t="shared" si="12"/>
        <v>0</v>
      </c>
      <c r="AB165" s="194"/>
      <c r="AC165" s="195"/>
      <c r="AD165" s="196"/>
      <c r="AE165" s="196"/>
      <c r="AF165" s="168" t="str">
        <f t="shared" si="13"/>
        <v/>
      </c>
    </row>
    <row r="166" spans="2:32" s="169" customFormat="1">
      <c r="B166" s="239"/>
      <c r="C166" s="167" t="s">
        <v>391</v>
      </c>
      <c r="D166" s="252">
        <v>1</v>
      </c>
      <c r="E166" s="252"/>
      <c r="F166" s="252"/>
      <c r="G166" s="252">
        <v>0</v>
      </c>
      <c r="H166" s="252"/>
      <c r="I166" s="192" t="s">
        <v>17</v>
      </c>
      <c r="J166" s="192" t="s">
        <v>443</v>
      </c>
      <c r="K166" s="192" t="s">
        <v>8</v>
      </c>
      <c r="L166" s="192" t="s">
        <v>9</v>
      </c>
      <c r="M166" s="192" t="s">
        <v>218</v>
      </c>
      <c r="N166" s="251" t="s">
        <v>422</v>
      </c>
      <c r="O166" s="210" t="s">
        <v>33</v>
      </c>
      <c r="P166" s="210"/>
      <c r="Q166" s="210"/>
      <c r="R166" s="285" t="s">
        <v>438</v>
      </c>
      <c r="S166" s="193" t="s">
        <v>80</v>
      </c>
      <c r="T166" s="212">
        <v>1</v>
      </c>
      <c r="U166" s="215">
        <v>1929</v>
      </c>
      <c r="V166" s="278">
        <v>1871</v>
      </c>
      <c r="W166" s="278">
        <v>1754</v>
      </c>
      <c r="X166" s="278">
        <v>1649</v>
      </c>
      <c r="Y166" s="5"/>
      <c r="Z166" s="216">
        <f t="shared" si="11"/>
        <v>0</v>
      </c>
      <c r="AA166" s="255">
        <f t="shared" si="12"/>
        <v>0</v>
      </c>
      <c r="AB166" s="194"/>
      <c r="AC166" s="195"/>
      <c r="AD166" s="196"/>
      <c r="AE166" s="196"/>
      <c r="AF166" s="168" t="str">
        <f t="shared" si="13"/>
        <v/>
      </c>
    </row>
    <row r="167" spans="2:32" s="169" customFormat="1">
      <c r="B167" s="239"/>
      <c r="C167" s="167" t="s">
        <v>292</v>
      </c>
      <c r="D167" s="252">
        <v>3</v>
      </c>
      <c r="E167" s="252"/>
      <c r="F167" s="252"/>
      <c r="G167" s="252">
        <v>0</v>
      </c>
      <c r="H167" s="252">
        <v>137</v>
      </c>
      <c r="I167" s="192" t="s">
        <v>17</v>
      </c>
      <c r="J167" s="192" t="s">
        <v>443</v>
      </c>
      <c r="K167" s="192" t="s">
        <v>8</v>
      </c>
      <c r="L167" s="192" t="s">
        <v>9</v>
      </c>
      <c r="M167" s="192" t="s">
        <v>218</v>
      </c>
      <c r="N167" s="251" t="s">
        <v>422</v>
      </c>
      <c r="O167" s="210" t="s">
        <v>35</v>
      </c>
      <c r="P167" s="210"/>
      <c r="Q167" s="210"/>
      <c r="R167" s="265"/>
      <c r="S167" s="193" t="s">
        <v>80</v>
      </c>
      <c r="T167" s="212">
        <v>1</v>
      </c>
      <c r="U167" s="215">
        <v>1990</v>
      </c>
      <c r="V167" s="278">
        <v>1930</v>
      </c>
      <c r="W167" s="278">
        <v>1809</v>
      </c>
      <c r="X167" s="278">
        <v>1701</v>
      </c>
      <c r="Y167" s="5"/>
      <c r="Z167" s="216">
        <f t="shared" si="11"/>
        <v>0</v>
      </c>
      <c r="AA167" s="255">
        <f t="shared" si="12"/>
        <v>0</v>
      </c>
      <c r="AB167" s="194"/>
      <c r="AC167" s="195"/>
      <c r="AD167" s="196"/>
      <c r="AE167" s="196"/>
      <c r="AF167" s="168" t="str">
        <f t="shared" si="13"/>
        <v/>
      </c>
    </row>
    <row r="168" spans="2:32" s="169" customFormat="1">
      <c r="B168" s="239"/>
      <c r="C168" s="167" t="s">
        <v>392</v>
      </c>
      <c r="D168" s="252">
        <v>16</v>
      </c>
      <c r="E168" s="252"/>
      <c r="F168" s="252"/>
      <c r="G168" s="252">
        <v>16</v>
      </c>
      <c r="H168" s="252"/>
      <c r="I168" s="192" t="s">
        <v>17</v>
      </c>
      <c r="J168" s="192" t="s">
        <v>443</v>
      </c>
      <c r="K168" s="192" t="s">
        <v>8</v>
      </c>
      <c r="L168" s="192" t="s">
        <v>9</v>
      </c>
      <c r="M168" s="192" t="s">
        <v>218</v>
      </c>
      <c r="N168" s="251" t="s">
        <v>422</v>
      </c>
      <c r="O168" s="210" t="s">
        <v>35</v>
      </c>
      <c r="P168" s="210"/>
      <c r="Q168" s="210"/>
      <c r="R168" s="285" t="s">
        <v>438</v>
      </c>
      <c r="S168" s="193" t="s">
        <v>80</v>
      </c>
      <c r="T168" s="212">
        <v>1</v>
      </c>
      <c r="U168" s="215">
        <v>1990</v>
      </c>
      <c r="V168" s="278">
        <v>1930</v>
      </c>
      <c r="W168" s="278">
        <v>1809</v>
      </c>
      <c r="X168" s="278">
        <v>1701</v>
      </c>
      <c r="Y168" s="5"/>
      <c r="Z168" s="216">
        <f t="shared" si="11"/>
        <v>0</v>
      </c>
      <c r="AA168" s="255">
        <f t="shared" si="12"/>
        <v>0</v>
      </c>
      <c r="AB168" s="194"/>
      <c r="AC168" s="195"/>
      <c r="AD168" s="196"/>
      <c r="AE168" s="196"/>
      <c r="AF168" s="168" t="str">
        <f t="shared" si="13"/>
        <v/>
      </c>
    </row>
    <row r="169" spans="2:32" s="169" customFormat="1">
      <c r="B169" s="239"/>
      <c r="C169" s="167" t="s">
        <v>393</v>
      </c>
      <c r="D169" s="252">
        <v>138</v>
      </c>
      <c r="E169" s="252"/>
      <c r="F169" s="252"/>
      <c r="G169" s="252">
        <v>18</v>
      </c>
      <c r="H169" s="252"/>
      <c r="I169" s="192" t="s">
        <v>17</v>
      </c>
      <c r="J169" s="192" t="s">
        <v>443</v>
      </c>
      <c r="K169" s="192" t="s">
        <v>8</v>
      </c>
      <c r="L169" s="192" t="s">
        <v>9</v>
      </c>
      <c r="M169" s="192" t="s">
        <v>218</v>
      </c>
      <c r="N169" s="251" t="s">
        <v>422</v>
      </c>
      <c r="O169" s="210" t="s">
        <v>410</v>
      </c>
      <c r="P169" s="210"/>
      <c r="Q169" s="210"/>
      <c r="R169" s="285" t="s">
        <v>438</v>
      </c>
      <c r="S169" s="193" t="s">
        <v>80</v>
      </c>
      <c r="T169" s="212">
        <v>1</v>
      </c>
      <c r="U169" s="215">
        <v>2972</v>
      </c>
      <c r="V169" s="278">
        <v>2882</v>
      </c>
      <c r="W169" s="278">
        <v>2702</v>
      </c>
      <c r="X169" s="278">
        <v>2540</v>
      </c>
      <c r="Y169" s="5"/>
      <c r="Z169" s="216">
        <f t="shared" si="11"/>
        <v>0</v>
      </c>
      <c r="AA169" s="255">
        <f t="shared" si="12"/>
        <v>0</v>
      </c>
      <c r="AB169" s="194"/>
      <c r="AC169" s="195"/>
      <c r="AD169" s="196"/>
      <c r="AE169" s="196"/>
      <c r="AF169" s="168" t="str">
        <f t="shared" si="13"/>
        <v/>
      </c>
    </row>
    <row r="170" spans="2:32" s="169" customFormat="1">
      <c r="B170" s="239"/>
      <c r="C170" s="167" t="s">
        <v>394</v>
      </c>
      <c r="D170" s="252"/>
      <c r="E170" s="252"/>
      <c r="F170" s="252"/>
      <c r="G170" s="252"/>
      <c r="H170" s="252">
        <v>363</v>
      </c>
      <c r="I170" s="192" t="s">
        <v>17</v>
      </c>
      <c r="J170" s="192" t="s">
        <v>443</v>
      </c>
      <c r="K170" s="192" t="s">
        <v>8</v>
      </c>
      <c r="L170" s="192" t="s">
        <v>9</v>
      </c>
      <c r="M170" s="192" t="s">
        <v>218</v>
      </c>
      <c r="N170" s="251" t="s">
        <v>422</v>
      </c>
      <c r="O170" s="210" t="s">
        <v>410</v>
      </c>
      <c r="P170" s="288"/>
      <c r="Q170" s="288"/>
      <c r="R170" s="265"/>
      <c r="S170" s="193" t="s">
        <v>80</v>
      </c>
      <c r="T170" s="212">
        <v>1</v>
      </c>
      <c r="U170" s="215">
        <v>2972</v>
      </c>
      <c r="V170" s="278">
        <v>2882</v>
      </c>
      <c r="W170" s="278">
        <v>2702</v>
      </c>
      <c r="X170" s="278">
        <v>2540</v>
      </c>
      <c r="Y170" s="5"/>
      <c r="Z170" s="216">
        <f t="shared" si="11"/>
        <v>0</v>
      </c>
      <c r="AA170" s="255">
        <f t="shared" si="12"/>
        <v>0</v>
      </c>
      <c r="AB170" s="194"/>
      <c r="AC170" s="195"/>
      <c r="AD170" s="196"/>
      <c r="AE170" s="196"/>
      <c r="AF170" s="168" t="str">
        <f t="shared" si="13"/>
        <v/>
      </c>
    </row>
    <row r="171" spans="2:32" s="169" customFormat="1">
      <c r="B171" s="239"/>
      <c r="C171" s="167" t="s">
        <v>289</v>
      </c>
      <c r="D171" s="252">
        <v>4</v>
      </c>
      <c r="E171" s="252"/>
      <c r="F171" s="252"/>
      <c r="G171" s="252">
        <v>5</v>
      </c>
      <c r="H171" s="252">
        <v>966</v>
      </c>
      <c r="I171" s="192" t="s">
        <v>17</v>
      </c>
      <c r="J171" s="192" t="s">
        <v>443</v>
      </c>
      <c r="K171" s="192" t="s">
        <v>8</v>
      </c>
      <c r="L171" s="192" t="s">
        <v>9</v>
      </c>
      <c r="M171" s="192" t="s">
        <v>218</v>
      </c>
      <c r="N171" s="251" t="s">
        <v>422</v>
      </c>
      <c r="O171" s="210" t="s">
        <v>58</v>
      </c>
      <c r="P171" s="210"/>
      <c r="Q171" s="210"/>
      <c r="R171" s="265"/>
      <c r="S171" s="193" t="s">
        <v>80</v>
      </c>
      <c r="T171" s="212">
        <v>1</v>
      </c>
      <c r="U171" s="215">
        <v>3134</v>
      </c>
      <c r="V171" s="278">
        <v>3039</v>
      </c>
      <c r="W171" s="278">
        <v>2849</v>
      </c>
      <c r="X171" s="278">
        <v>2678</v>
      </c>
      <c r="Y171" s="5"/>
      <c r="Z171" s="216">
        <f t="shared" si="11"/>
        <v>0</v>
      </c>
      <c r="AA171" s="255">
        <f t="shared" si="12"/>
        <v>0</v>
      </c>
      <c r="AB171" s="194"/>
      <c r="AC171" s="195"/>
      <c r="AD171" s="196"/>
      <c r="AE171" s="196"/>
      <c r="AF171" s="168" t="str">
        <f t="shared" si="13"/>
        <v/>
      </c>
    </row>
    <row r="172" spans="2:32" s="169" customFormat="1">
      <c r="B172" s="239"/>
      <c r="C172" s="167" t="s">
        <v>320</v>
      </c>
      <c r="D172" s="252">
        <v>74</v>
      </c>
      <c r="E172" s="252"/>
      <c r="F172" s="252"/>
      <c r="G172" s="252">
        <v>24</v>
      </c>
      <c r="H172" s="252">
        <v>62</v>
      </c>
      <c r="I172" s="192" t="s">
        <v>17</v>
      </c>
      <c r="J172" s="192" t="s">
        <v>443</v>
      </c>
      <c r="K172" s="192" t="s">
        <v>8</v>
      </c>
      <c r="L172" s="192" t="s">
        <v>9</v>
      </c>
      <c r="M172" s="192" t="s">
        <v>218</v>
      </c>
      <c r="N172" s="251" t="s">
        <v>422</v>
      </c>
      <c r="O172" s="210" t="s">
        <v>58</v>
      </c>
      <c r="P172" s="210"/>
      <c r="Q172" s="210"/>
      <c r="R172" s="285" t="s">
        <v>438</v>
      </c>
      <c r="S172" s="193" t="s">
        <v>80</v>
      </c>
      <c r="T172" s="212">
        <v>1</v>
      </c>
      <c r="U172" s="215">
        <v>3134</v>
      </c>
      <c r="V172" s="278">
        <v>3039</v>
      </c>
      <c r="W172" s="278">
        <v>2849</v>
      </c>
      <c r="X172" s="278">
        <v>2678</v>
      </c>
      <c r="Y172" s="5"/>
      <c r="Z172" s="216">
        <f t="shared" si="11"/>
        <v>0</v>
      </c>
      <c r="AA172" s="255">
        <f t="shared" si="12"/>
        <v>0</v>
      </c>
      <c r="AB172" s="194"/>
      <c r="AC172" s="195"/>
      <c r="AD172" s="196"/>
      <c r="AE172" s="196"/>
      <c r="AF172" s="168" t="str">
        <f t="shared" si="13"/>
        <v/>
      </c>
    </row>
    <row r="173" spans="2:32" s="169" customFormat="1">
      <c r="B173" s="239"/>
      <c r="C173" s="167" t="s">
        <v>322</v>
      </c>
      <c r="D173" s="252">
        <v>5</v>
      </c>
      <c r="E173" s="252"/>
      <c r="F173" s="252"/>
      <c r="G173" s="252">
        <v>0</v>
      </c>
      <c r="H173" s="252"/>
      <c r="I173" s="192" t="s">
        <v>17</v>
      </c>
      <c r="J173" s="192" t="s">
        <v>443</v>
      </c>
      <c r="K173" s="192" t="s">
        <v>8</v>
      </c>
      <c r="L173" s="192" t="s">
        <v>9</v>
      </c>
      <c r="M173" s="192" t="s">
        <v>218</v>
      </c>
      <c r="N173" s="251" t="s">
        <v>422</v>
      </c>
      <c r="O173" s="210" t="s">
        <v>418</v>
      </c>
      <c r="P173" s="210"/>
      <c r="Q173" s="210"/>
      <c r="R173" s="265"/>
      <c r="S173" s="193" t="s">
        <v>80</v>
      </c>
      <c r="T173" s="212">
        <v>1</v>
      </c>
      <c r="U173" s="215">
        <v>3134</v>
      </c>
      <c r="V173" s="278">
        <v>3039</v>
      </c>
      <c r="W173" s="278">
        <v>2849</v>
      </c>
      <c r="X173" s="278">
        <v>2678</v>
      </c>
      <c r="Y173" s="5"/>
      <c r="Z173" s="216">
        <f t="shared" si="11"/>
        <v>0</v>
      </c>
      <c r="AA173" s="255">
        <f t="shared" si="12"/>
        <v>0</v>
      </c>
      <c r="AB173" s="194"/>
      <c r="AC173" s="195"/>
      <c r="AD173" s="196"/>
      <c r="AE173" s="196"/>
      <c r="AF173" s="168" t="str">
        <f t="shared" si="13"/>
        <v/>
      </c>
    </row>
    <row r="174" spans="2:32" s="169" customFormat="1">
      <c r="B174" s="239"/>
      <c r="C174" s="167" t="s">
        <v>290</v>
      </c>
      <c r="D174" s="252">
        <v>4</v>
      </c>
      <c r="E174" s="252"/>
      <c r="F174" s="252"/>
      <c r="G174" s="252">
        <v>0</v>
      </c>
      <c r="H174" s="252">
        <v>2487</v>
      </c>
      <c r="I174" s="192" t="s">
        <v>17</v>
      </c>
      <c r="J174" s="192" t="s">
        <v>443</v>
      </c>
      <c r="K174" s="192" t="s">
        <v>8</v>
      </c>
      <c r="L174" s="192" t="s">
        <v>9</v>
      </c>
      <c r="M174" s="192" t="s">
        <v>218</v>
      </c>
      <c r="N174" s="251" t="s">
        <v>422</v>
      </c>
      <c r="O174" s="210" t="s">
        <v>411</v>
      </c>
      <c r="P174" s="210"/>
      <c r="Q174" s="210"/>
      <c r="R174" s="265"/>
      <c r="S174" s="193" t="s">
        <v>80</v>
      </c>
      <c r="T174" s="212">
        <v>1</v>
      </c>
      <c r="U174" s="215">
        <v>4490</v>
      </c>
      <c r="V174" s="278">
        <v>4354</v>
      </c>
      <c r="W174" s="278">
        <v>4082</v>
      </c>
      <c r="X174" s="278">
        <v>3837</v>
      </c>
      <c r="Y174" s="5"/>
      <c r="Z174" s="216">
        <f t="shared" si="11"/>
        <v>0</v>
      </c>
      <c r="AA174" s="255">
        <f t="shared" si="12"/>
        <v>0</v>
      </c>
      <c r="AB174" s="194"/>
      <c r="AC174" s="195"/>
      <c r="AD174" s="196"/>
      <c r="AE174" s="196"/>
      <c r="AF174" s="168" t="str">
        <f t="shared" si="13"/>
        <v/>
      </c>
    </row>
    <row r="175" spans="2:32" s="169" customFormat="1">
      <c r="B175" s="239"/>
      <c r="C175" s="167" t="s">
        <v>213</v>
      </c>
      <c r="D175" s="252">
        <v>250</v>
      </c>
      <c r="E175" s="252"/>
      <c r="F175" s="252"/>
      <c r="G175" s="252">
        <v>28</v>
      </c>
      <c r="H175" s="252">
        <v>246</v>
      </c>
      <c r="I175" s="192" t="s">
        <v>17</v>
      </c>
      <c r="J175" s="192" t="s">
        <v>443</v>
      </c>
      <c r="K175" s="192" t="s">
        <v>8</v>
      </c>
      <c r="L175" s="192" t="s">
        <v>9</v>
      </c>
      <c r="M175" s="192" t="s">
        <v>218</v>
      </c>
      <c r="N175" s="251" t="s">
        <v>422</v>
      </c>
      <c r="O175" s="210" t="s">
        <v>411</v>
      </c>
      <c r="P175" s="210"/>
      <c r="Q175" s="210"/>
      <c r="R175" s="285" t="s">
        <v>438</v>
      </c>
      <c r="S175" s="193" t="s">
        <v>80</v>
      </c>
      <c r="T175" s="212">
        <v>1</v>
      </c>
      <c r="U175" s="215">
        <v>4490</v>
      </c>
      <c r="V175" s="278">
        <v>4354</v>
      </c>
      <c r="W175" s="278">
        <v>4082</v>
      </c>
      <c r="X175" s="278">
        <v>3837</v>
      </c>
      <c r="Y175" s="5"/>
      <c r="Z175" s="216">
        <f t="shared" si="11"/>
        <v>0</v>
      </c>
      <c r="AA175" s="255">
        <f t="shared" si="12"/>
        <v>0</v>
      </c>
      <c r="AB175" s="194"/>
      <c r="AC175" s="195"/>
      <c r="AD175" s="196"/>
      <c r="AE175" s="196"/>
      <c r="AF175" s="168" t="str">
        <f t="shared" si="13"/>
        <v/>
      </c>
    </row>
    <row r="176" spans="2:32" s="169" customFormat="1">
      <c r="B176" s="239"/>
      <c r="C176" s="167" t="s">
        <v>323</v>
      </c>
      <c r="D176" s="252">
        <v>6</v>
      </c>
      <c r="E176" s="252"/>
      <c r="F176" s="252"/>
      <c r="G176" s="252">
        <v>0</v>
      </c>
      <c r="H176" s="252"/>
      <c r="I176" s="192" t="s">
        <v>17</v>
      </c>
      <c r="J176" s="192" t="s">
        <v>443</v>
      </c>
      <c r="K176" s="192" t="s">
        <v>8</v>
      </c>
      <c r="L176" s="192" t="s">
        <v>9</v>
      </c>
      <c r="M176" s="192" t="s">
        <v>218</v>
      </c>
      <c r="N176" s="251" t="s">
        <v>422</v>
      </c>
      <c r="O176" s="210" t="s">
        <v>419</v>
      </c>
      <c r="P176" s="210"/>
      <c r="Q176" s="210"/>
      <c r="R176" s="265"/>
      <c r="S176" s="193" t="s">
        <v>80</v>
      </c>
      <c r="T176" s="212">
        <v>1</v>
      </c>
      <c r="U176" s="215">
        <v>4490</v>
      </c>
      <c r="V176" s="278">
        <v>4354</v>
      </c>
      <c r="W176" s="278">
        <v>4082</v>
      </c>
      <c r="X176" s="278">
        <v>3837</v>
      </c>
      <c r="Y176" s="5"/>
      <c r="Z176" s="216">
        <f t="shared" si="11"/>
        <v>0</v>
      </c>
      <c r="AA176" s="255">
        <f t="shared" si="12"/>
        <v>0</v>
      </c>
      <c r="AB176" s="194"/>
      <c r="AC176" s="195"/>
      <c r="AD176" s="196"/>
      <c r="AE176" s="196"/>
      <c r="AF176" s="168" t="str">
        <f t="shared" si="13"/>
        <v/>
      </c>
    </row>
    <row r="177" spans="2:33" s="169" customFormat="1">
      <c r="B177" s="239"/>
      <c r="C177" s="167" t="s">
        <v>321</v>
      </c>
      <c r="D177" s="252">
        <v>230</v>
      </c>
      <c r="E177" s="252"/>
      <c r="F177" s="252"/>
      <c r="G177" s="252">
        <v>23</v>
      </c>
      <c r="H177" s="252"/>
      <c r="I177" s="192" t="s">
        <v>17</v>
      </c>
      <c r="J177" s="192" t="s">
        <v>443</v>
      </c>
      <c r="K177" s="192" t="s">
        <v>8</v>
      </c>
      <c r="L177" s="192" t="s">
        <v>9</v>
      </c>
      <c r="M177" s="192" t="s">
        <v>218</v>
      </c>
      <c r="N177" s="251" t="s">
        <v>422</v>
      </c>
      <c r="O177" s="210" t="s">
        <v>412</v>
      </c>
      <c r="P177" s="210"/>
      <c r="Q177" s="210"/>
      <c r="R177" s="285" t="s">
        <v>438</v>
      </c>
      <c r="S177" s="193" t="s">
        <v>80</v>
      </c>
      <c r="T177" s="212">
        <v>1</v>
      </c>
      <c r="U177" s="215">
        <v>5091</v>
      </c>
      <c r="V177" s="278">
        <v>4936</v>
      </c>
      <c r="W177" s="278">
        <v>4628</v>
      </c>
      <c r="X177" s="278">
        <v>4350</v>
      </c>
      <c r="Y177" s="5"/>
      <c r="Z177" s="216">
        <f t="shared" si="11"/>
        <v>0</v>
      </c>
      <c r="AA177" s="255">
        <f t="shared" si="12"/>
        <v>0</v>
      </c>
      <c r="AB177" s="194"/>
      <c r="AC177" s="195"/>
      <c r="AD177" s="196"/>
      <c r="AE177" s="196"/>
      <c r="AF177" s="168" t="str">
        <f t="shared" si="13"/>
        <v/>
      </c>
    </row>
    <row r="178" spans="2:33" s="169" customFormat="1">
      <c r="B178" s="239"/>
      <c r="C178" s="167" t="s">
        <v>395</v>
      </c>
      <c r="D178" s="252">
        <v>0</v>
      </c>
      <c r="E178" s="252"/>
      <c r="F178" s="252"/>
      <c r="G178" s="252">
        <v>2</v>
      </c>
      <c r="H178" s="252">
        <v>3726</v>
      </c>
      <c r="I178" s="192" t="s">
        <v>17</v>
      </c>
      <c r="J178" s="192" t="s">
        <v>443</v>
      </c>
      <c r="K178" s="192" t="s">
        <v>8</v>
      </c>
      <c r="L178" s="192" t="s">
        <v>9</v>
      </c>
      <c r="M178" s="192" t="s">
        <v>218</v>
      </c>
      <c r="N178" s="251" t="s">
        <v>422</v>
      </c>
      <c r="O178" s="210" t="s">
        <v>412</v>
      </c>
      <c r="P178" s="210"/>
      <c r="Q178" s="210"/>
      <c r="R178" s="265"/>
      <c r="S178" s="193" t="s">
        <v>80</v>
      </c>
      <c r="T178" s="212">
        <v>1</v>
      </c>
      <c r="U178" s="215">
        <v>5091</v>
      </c>
      <c r="V178" s="278">
        <v>4936</v>
      </c>
      <c r="W178" s="278">
        <v>4628</v>
      </c>
      <c r="X178" s="278">
        <v>4350</v>
      </c>
      <c r="Y178" s="5"/>
      <c r="Z178" s="216">
        <f t="shared" si="11"/>
        <v>0</v>
      </c>
      <c r="AA178" s="255">
        <f t="shared" si="12"/>
        <v>0</v>
      </c>
      <c r="AB178" s="194"/>
      <c r="AC178" s="195"/>
      <c r="AD178" s="196"/>
      <c r="AE178" s="196"/>
      <c r="AF178" s="168" t="str">
        <f t="shared" si="13"/>
        <v/>
      </c>
    </row>
    <row r="179" spans="2:33" s="169" customFormat="1">
      <c r="B179" s="239"/>
      <c r="C179" s="167" t="s">
        <v>324</v>
      </c>
      <c r="D179" s="252">
        <v>5</v>
      </c>
      <c r="E179" s="252"/>
      <c r="F179" s="252"/>
      <c r="G179" s="252">
        <v>0</v>
      </c>
      <c r="H179" s="252"/>
      <c r="I179" s="192" t="s">
        <v>17</v>
      </c>
      <c r="J179" s="192" t="s">
        <v>443</v>
      </c>
      <c r="K179" s="192" t="s">
        <v>8</v>
      </c>
      <c r="L179" s="192" t="s">
        <v>9</v>
      </c>
      <c r="M179" s="192" t="s">
        <v>218</v>
      </c>
      <c r="N179" s="251" t="s">
        <v>422</v>
      </c>
      <c r="O179" s="210" t="s">
        <v>420</v>
      </c>
      <c r="P179" s="210"/>
      <c r="Q179" s="210"/>
      <c r="R179" s="265"/>
      <c r="S179" s="193" t="s">
        <v>80</v>
      </c>
      <c r="T179" s="212">
        <v>1</v>
      </c>
      <c r="U179" s="215">
        <v>5091</v>
      </c>
      <c r="V179" s="278">
        <v>4936</v>
      </c>
      <c r="W179" s="278">
        <v>4628</v>
      </c>
      <c r="X179" s="278">
        <v>4350</v>
      </c>
      <c r="Y179" s="5"/>
      <c r="Z179" s="216">
        <f t="shared" si="11"/>
        <v>0</v>
      </c>
      <c r="AA179" s="255">
        <f t="shared" si="12"/>
        <v>0</v>
      </c>
      <c r="AB179" s="194"/>
      <c r="AC179" s="195"/>
      <c r="AD179" s="196"/>
      <c r="AE179" s="196"/>
      <c r="AF179" s="168" t="str">
        <f t="shared" si="13"/>
        <v/>
      </c>
    </row>
    <row r="180" spans="2:33" s="169" customFormat="1">
      <c r="B180" s="239"/>
      <c r="C180" s="167" t="s">
        <v>396</v>
      </c>
      <c r="D180" s="252"/>
      <c r="E180" s="252"/>
      <c r="F180" s="252"/>
      <c r="G180" s="252"/>
      <c r="H180" s="252"/>
      <c r="I180" s="192" t="s">
        <v>17</v>
      </c>
      <c r="J180" s="287" t="s">
        <v>443</v>
      </c>
      <c r="K180" s="287" t="s">
        <v>8</v>
      </c>
      <c r="L180" s="287" t="s">
        <v>9</v>
      </c>
      <c r="M180" s="287" t="s">
        <v>218</v>
      </c>
      <c r="N180" s="291" t="s">
        <v>422</v>
      </c>
      <c r="O180" s="288" t="s">
        <v>407</v>
      </c>
      <c r="P180" s="288"/>
      <c r="Q180" s="288"/>
      <c r="R180" s="285" t="s">
        <v>438</v>
      </c>
      <c r="S180" s="193" t="s">
        <v>80</v>
      </c>
      <c r="T180" s="212">
        <v>1</v>
      </c>
      <c r="U180" s="215">
        <v>6904</v>
      </c>
      <c r="V180" s="278">
        <v>6695</v>
      </c>
      <c r="W180" s="278">
        <v>6276</v>
      </c>
      <c r="X180" s="278">
        <v>5900</v>
      </c>
      <c r="Y180" s="5"/>
      <c r="Z180" s="216">
        <f t="shared" si="11"/>
        <v>0</v>
      </c>
      <c r="AA180" s="255">
        <f t="shared" si="12"/>
        <v>0</v>
      </c>
      <c r="AB180" s="194" t="s">
        <v>305</v>
      </c>
      <c r="AC180" s="195"/>
      <c r="AD180" s="196"/>
      <c r="AE180" s="196"/>
      <c r="AF180" s="168" t="str">
        <f t="shared" si="13"/>
        <v/>
      </c>
    </row>
    <row r="181" spans="2:33" s="169" customFormat="1">
      <c r="B181" s="239"/>
      <c r="C181" s="167" t="s">
        <v>505</v>
      </c>
      <c r="D181" s="252"/>
      <c r="E181" s="252"/>
      <c r="F181" s="252"/>
      <c r="G181" s="252"/>
      <c r="H181" s="252">
        <v>1532</v>
      </c>
      <c r="I181" s="192" t="s">
        <v>17</v>
      </c>
      <c r="J181" s="192" t="s">
        <v>443</v>
      </c>
      <c r="K181" s="192" t="s">
        <v>8</v>
      </c>
      <c r="L181" s="192" t="s">
        <v>9</v>
      </c>
      <c r="M181" s="192" t="s">
        <v>218</v>
      </c>
      <c r="N181" s="251" t="s">
        <v>422</v>
      </c>
      <c r="O181" s="210" t="s">
        <v>407</v>
      </c>
      <c r="P181" s="288"/>
      <c r="Q181" s="288"/>
      <c r="R181" s="285"/>
      <c r="S181" s="193" t="s">
        <v>80</v>
      </c>
      <c r="T181" s="212">
        <v>1</v>
      </c>
      <c r="U181" s="215">
        <v>6904</v>
      </c>
      <c r="V181" s="278">
        <v>6695</v>
      </c>
      <c r="W181" s="278">
        <v>6276</v>
      </c>
      <c r="X181" s="278">
        <v>5900</v>
      </c>
      <c r="Y181" s="5"/>
      <c r="Z181" s="216">
        <f t="shared" si="11"/>
        <v>0</v>
      </c>
      <c r="AA181" s="255">
        <f t="shared" si="12"/>
        <v>0</v>
      </c>
      <c r="AB181" s="194"/>
      <c r="AC181" s="195"/>
      <c r="AD181" s="196"/>
      <c r="AE181" s="196"/>
      <c r="AF181" s="168"/>
    </row>
    <row r="182" spans="2:33" s="169" customFormat="1">
      <c r="B182" s="239"/>
      <c r="C182" s="167" t="s">
        <v>506</v>
      </c>
      <c r="D182" s="252"/>
      <c r="E182" s="252"/>
      <c r="F182" s="252"/>
      <c r="G182" s="252"/>
      <c r="H182" s="252">
        <v>228</v>
      </c>
      <c r="I182" s="192" t="s">
        <v>17</v>
      </c>
      <c r="J182" s="192" t="s">
        <v>443</v>
      </c>
      <c r="K182" s="192" t="s">
        <v>8</v>
      </c>
      <c r="L182" s="192" t="s">
        <v>9</v>
      </c>
      <c r="M182" s="192" t="s">
        <v>218</v>
      </c>
      <c r="N182" s="251" t="s">
        <v>422</v>
      </c>
      <c r="O182" s="210" t="s">
        <v>413</v>
      </c>
      <c r="P182" s="288"/>
      <c r="Q182" s="288"/>
      <c r="R182" s="285"/>
      <c r="S182" s="193" t="s">
        <v>80</v>
      </c>
      <c r="T182" s="212">
        <v>1</v>
      </c>
      <c r="U182" s="215">
        <v>7574</v>
      </c>
      <c r="V182" s="278">
        <v>7344</v>
      </c>
      <c r="W182" s="278">
        <v>6885</v>
      </c>
      <c r="X182" s="278">
        <v>6472</v>
      </c>
      <c r="Y182" s="5"/>
      <c r="Z182" s="216">
        <f t="shared" si="11"/>
        <v>0</v>
      </c>
      <c r="AA182" s="255">
        <f t="shared" si="12"/>
        <v>0</v>
      </c>
      <c r="AB182" s="194"/>
      <c r="AC182" s="195"/>
      <c r="AD182" s="196"/>
      <c r="AE182" s="196"/>
      <c r="AF182" s="168"/>
    </row>
    <row r="183" spans="2:33" s="169" customFormat="1">
      <c r="B183" s="239"/>
      <c r="C183" s="167" t="s">
        <v>507</v>
      </c>
      <c r="D183" s="252"/>
      <c r="E183" s="252"/>
      <c r="F183" s="252"/>
      <c r="G183" s="252"/>
      <c r="H183" s="252">
        <v>75</v>
      </c>
      <c r="I183" s="192" t="s">
        <v>17</v>
      </c>
      <c r="J183" s="192" t="s">
        <v>443</v>
      </c>
      <c r="K183" s="192" t="s">
        <v>8</v>
      </c>
      <c r="L183" s="192" t="s">
        <v>9</v>
      </c>
      <c r="M183" s="192" t="s">
        <v>218</v>
      </c>
      <c r="N183" s="251" t="s">
        <v>422</v>
      </c>
      <c r="O183" s="210" t="s">
        <v>408</v>
      </c>
      <c r="P183" s="288"/>
      <c r="Q183" s="288"/>
      <c r="R183" s="285"/>
      <c r="S183" s="193" t="s">
        <v>80</v>
      </c>
      <c r="T183" s="212">
        <v>1</v>
      </c>
      <c r="U183" s="215">
        <v>8249</v>
      </c>
      <c r="V183" s="278">
        <v>7999</v>
      </c>
      <c r="W183" s="278">
        <v>7499</v>
      </c>
      <c r="X183" s="278">
        <v>7049</v>
      </c>
      <c r="Y183" s="5"/>
      <c r="Z183" s="216">
        <f t="shared" si="11"/>
        <v>0</v>
      </c>
      <c r="AA183" s="255">
        <f t="shared" si="12"/>
        <v>0</v>
      </c>
      <c r="AB183" s="194"/>
      <c r="AC183" s="195"/>
      <c r="AD183" s="196"/>
      <c r="AE183" s="196"/>
      <c r="AF183" s="168"/>
    </row>
    <row r="184" spans="2:33" s="169" customFormat="1">
      <c r="B184" s="239"/>
      <c r="C184" s="167" t="s">
        <v>508</v>
      </c>
      <c r="D184" s="252"/>
      <c r="E184" s="252"/>
      <c r="F184" s="252"/>
      <c r="G184" s="252"/>
      <c r="H184" s="252">
        <v>41</v>
      </c>
      <c r="I184" s="192" t="s">
        <v>17</v>
      </c>
      <c r="J184" s="192" t="s">
        <v>443</v>
      </c>
      <c r="K184" s="192" t="s">
        <v>8</v>
      </c>
      <c r="L184" s="192" t="s">
        <v>9</v>
      </c>
      <c r="M184" s="192" t="s">
        <v>218</v>
      </c>
      <c r="N184" s="251" t="s">
        <v>422</v>
      </c>
      <c r="O184" s="251" t="s">
        <v>458</v>
      </c>
      <c r="P184" s="210"/>
      <c r="Q184" s="288"/>
      <c r="R184" s="288"/>
      <c r="S184" s="193" t="s">
        <v>80</v>
      </c>
      <c r="T184" s="212">
        <v>1</v>
      </c>
      <c r="U184" s="215">
        <v>9075</v>
      </c>
      <c r="V184" s="278">
        <v>8800</v>
      </c>
      <c r="W184" s="278">
        <v>8250</v>
      </c>
      <c r="X184" s="278">
        <v>7755</v>
      </c>
      <c r="Y184" s="5"/>
      <c r="Z184" s="216">
        <f t="shared" si="11"/>
        <v>0</v>
      </c>
      <c r="AA184" s="255">
        <f t="shared" si="12"/>
        <v>0</v>
      </c>
      <c r="AB184" s="255"/>
      <c r="AC184" s="194"/>
      <c r="AD184" s="195"/>
      <c r="AE184" s="196"/>
      <c r="AF184" s="196"/>
      <c r="AG184" s="168"/>
    </row>
    <row r="185" spans="2:33" s="169" customFormat="1">
      <c r="B185" s="239"/>
      <c r="C185" s="167" t="s">
        <v>325</v>
      </c>
      <c r="D185" s="252">
        <v>3</v>
      </c>
      <c r="E185" s="252">
        <v>88</v>
      </c>
      <c r="F185" s="252">
        <v>88</v>
      </c>
      <c r="G185" s="252">
        <v>36</v>
      </c>
      <c r="H185" s="252"/>
      <c r="I185" s="192" t="s">
        <v>17</v>
      </c>
      <c r="J185" s="192" t="s">
        <v>443</v>
      </c>
      <c r="K185" s="192" t="s">
        <v>8</v>
      </c>
      <c r="L185" s="192" t="s">
        <v>9</v>
      </c>
      <c r="M185" s="192" t="s">
        <v>218</v>
      </c>
      <c r="N185" s="251" t="s">
        <v>422</v>
      </c>
      <c r="O185" s="210" t="s">
        <v>421</v>
      </c>
      <c r="P185" s="210"/>
      <c r="Q185" s="210"/>
      <c r="R185" s="265"/>
      <c r="S185" s="193" t="s">
        <v>80</v>
      </c>
      <c r="T185" s="212">
        <v>1</v>
      </c>
      <c r="U185" s="215">
        <v>22117</v>
      </c>
      <c r="V185" s="278">
        <v>21447</v>
      </c>
      <c r="W185" s="278">
        <v>20106</v>
      </c>
      <c r="X185" s="278">
        <v>18900</v>
      </c>
      <c r="Y185" s="5"/>
      <c r="Z185" s="216">
        <f t="shared" si="11"/>
        <v>0</v>
      </c>
      <c r="AA185" s="255">
        <f t="shared" si="12"/>
        <v>0</v>
      </c>
      <c r="AB185" s="194"/>
      <c r="AC185" s="195"/>
      <c r="AD185" s="196"/>
      <c r="AE185" s="196"/>
      <c r="AF185" s="168" t="str">
        <f>IF(Y185/T185=0,"",IF(MOD(Y185,T185)&gt;0,"ОШИБКА!!! неверная кратность на сорт",""))</f>
        <v/>
      </c>
    </row>
    <row r="186" spans="2:33" s="169" customFormat="1">
      <c r="B186" s="239"/>
      <c r="C186" s="167" t="s">
        <v>503</v>
      </c>
      <c r="D186" s="252"/>
      <c r="E186" s="252"/>
      <c r="F186" s="252"/>
      <c r="G186" s="252"/>
      <c r="H186" s="252">
        <v>18</v>
      </c>
      <c r="I186" s="192" t="s">
        <v>17</v>
      </c>
      <c r="J186" s="192" t="s">
        <v>443</v>
      </c>
      <c r="K186" s="192" t="s">
        <v>8</v>
      </c>
      <c r="L186" s="192" t="s">
        <v>9</v>
      </c>
      <c r="M186" s="192" t="s">
        <v>502</v>
      </c>
      <c r="N186" s="251" t="s">
        <v>422</v>
      </c>
      <c r="O186" s="210" t="s">
        <v>58</v>
      </c>
      <c r="P186" s="210"/>
      <c r="Q186" s="210"/>
      <c r="R186" s="265"/>
      <c r="S186" s="193" t="s">
        <v>80</v>
      </c>
      <c r="T186" s="212">
        <v>1</v>
      </c>
      <c r="U186" s="215">
        <v>3284</v>
      </c>
      <c r="V186" s="278">
        <v>3184</v>
      </c>
      <c r="W186" s="278">
        <v>2985</v>
      </c>
      <c r="X186" s="278">
        <v>2806</v>
      </c>
      <c r="Y186" s="5"/>
      <c r="Z186" s="216">
        <f t="shared" si="11"/>
        <v>0</v>
      </c>
      <c r="AA186" s="255">
        <f t="shared" si="12"/>
        <v>0</v>
      </c>
      <c r="AB186" s="194"/>
      <c r="AC186" s="195"/>
      <c r="AD186" s="196"/>
      <c r="AE186" s="196"/>
      <c r="AF186" s="168"/>
    </row>
    <row r="187" spans="2:33" s="169" customFormat="1">
      <c r="B187" s="239"/>
      <c r="C187" s="167" t="s">
        <v>504</v>
      </c>
      <c r="D187" s="252"/>
      <c r="E187" s="252"/>
      <c r="F187" s="252"/>
      <c r="G187" s="252"/>
      <c r="H187" s="252">
        <v>4</v>
      </c>
      <c r="I187" s="192" t="s">
        <v>17</v>
      </c>
      <c r="J187" s="192" t="s">
        <v>443</v>
      </c>
      <c r="K187" s="192" t="s">
        <v>8</v>
      </c>
      <c r="L187" s="192" t="s">
        <v>9</v>
      </c>
      <c r="M187" s="192" t="s">
        <v>502</v>
      </c>
      <c r="N187" s="251" t="s">
        <v>422</v>
      </c>
      <c r="O187" s="210" t="s">
        <v>411</v>
      </c>
      <c r="P187" s="210"/>
      <c r="Q187" s="210"/>
      <c r="R187" s="265"/>
      <c r="S187" s="193" t="s">
        <v>80</v>
      </c>
      <c r="T187" s="212">
        <v>1</v>
      </c>
      <c r="U187" s="215">
        <v>4538</v>
      </c>
      <c r="V187" s="278">
        <v>4400</v>
      </c>
      <c r="W187" s="278">
        <v>4125</v>
      </c>
      <c r="X187" s="278">
        <v>3878</v>
      </c>
      <c r="Y187" s="5"/>
      <c r="Z187" s="216">
        <f t="shared" si="11"/>
        <v>0</v>
      </c>
      <c r="AA187" s="255">
        <f t="shared" si="12"/>
        <v>0</v>
      </c>
      <c r="AB187" s="194"/>
      <c r="AC187" s="195"/>
      <c r="AD187" s="196"/>
      <c r="AE187" s="196"/>
      <c r="AF187" s="168"/>
    </row>
    <row r="188" spans="2:33" s="169" customFormat="1">
      <c r="B188" s="239"/>
      <c r="C188" s="167" t="s">
        <v>293</v>
      </c>
      <c r="D188" s="252">
        <v>2</v>
      </c>
      <c r="E188" s="252"/>
      <c r="F188" s="252"/>
      <c r="G188" s="252">
        <v>0</v>
      </c>
      <c r="H188" s="252"/>
      <c r="I188" s="192" t="s">
        <v>17</v>
      </c>
      <c r="J188" s="192" t="s">
        <v>443</v>
      </c>
      <c r="K188" s="192" t="s">
        <v>8</v>
      </c>
      <c r="L188" s="192" t="s">
        <v>9</v>
      </c>
      <c r="M188" s="192" t="s">
        <v>183</v>
      </c>
      <c r="N188" s="251" t="s">
        <v>422</v>
      </c>
      <c r="O188" s="210" t="s">
        <v>58</v>
      </c>
      <c r="P188" s="210"/>
      <c r="Q188" s="210"/>
      <c r="R188" s="265"/>
      <c r="S188" s="193" t="s">
        <v>80</v>
      </c>
      <c r="T188" s="212">
        <v>1</v>
      </c>
      <c r="U188" s="215">
        <v>3060</v>
      </c>
      <c r="V188" s="278">
        <v>2967</v>
      </c>
      <c r="W188" s="278">
        <v>2781</v>
      </c>
      <c r="X188" s="278">
        <v>2615</v>
      </c>
      <c r="Y188" s="5"/>
      <c r="Z188" s="216">
        <f t="shared" si="11"/>
        <v>0</v>
      </c>
      <c r="AA188" s="255">
        <f t="shared" si="12"/>
        <v>0</v>
      </c>
      <c r="AB188" s="194"/>
      <c r="AC188" s="195"/>
      <c r="AD188" s="196"/>
      <c r="AE188" s="196"/>
      <c r="AF188" s="168" t="str">
        <f>IF(Y188/T188=0,"",IF(MOD(Y188,T188)&gt;0,"ОШИБКА!!! неверная кратность на сорт",""))</f>
        <v/>
      </c>
    </row>
    <row r="189" spans="2:33" s="169" customFormat="1">
      <c r="B189" s="239"/>
      <c r="C189" s="167" t="s">
        <v>498</v>
      </c>
      <c r="D189" s="252"/>
      <c r="E189" s="252"/>
      <c r="F189" s="252"/>
      <c r="G189" s="252"/>
      <c r="H189" s="252">
        <v>40</v>
      </c>
      <c r="I189" s="192" t="s">
        <v>17</v>
      </c>
      <c r="J189" s="192" t="s">
        <v>443</v>
      </c>
      <c r="K189" s="192" t="s">
        <v>8</v>
      </c>
      <c r="L189" s="192" t="s">
        <v>9</v>
      </c>
      <c r="M189" s="192" t="s">
        <v>55</v>
      </c>
      <c r="N189" s="251" t="s">
        <v>422</v>
      </c>
      <c r="O189" s="210" t="s">
        <v>405</v>
      </c>
      <c r="P189" s="210"/>
      <c r="Q189" s="210"/>
      <c r="R189" s="265"/>
      <c r="S189" s="193" t="s">
        <v>80</v>
      </c>
      <c r="T189" s="212">
        <v>1</v>
      </c>
      <c r="U189" s="215">
        <v>3680</v>
      </c>
      <c r="V189" s="278">
        <v>3568</v>
      </c>
      <c r="W189" s="278">
        <v>3345</v>
      </c>
      <c r="X189" s="278">
        <v>3145</v>
      </c>
      <c r="Y189" s="5"/>
      <c r="Z189" s="216">
        <f t="shared" si="11"/>
        <v>0</v>
      </c>
      <c r="AA189" s="255">
        <f t="shared" si="12"/>
        <v>0</v>
      </c>
      <c r="AB189" s="194"/>
      <c r="AC189" s="195"/>
      <c r="AD189" s="196"/>
      <c r="AE189" s="196"/>
      <c r="AF189" s="168"/>
    </row>
    <row r="190" spans="2:33" s="169" customFormat="1">
      <c r="B190" s="239"/>
      <c r="C190" s="167" t="s">
        <v>499</v>
      </c>
      <c r="D190" s="252"/>
      <c r="E190" s="252"/>
      <c r="F190" s="252"/>
      <c r="G190" s="252"/>
      <c r="H190" s="252">
        <v>126</v>
      </c>
      <c r="I190" s="192" t="s">
        <v>17</v>
      </c>
      <c r="J190" s="192" t="s">
        <v>443</v>
      </c>
      <c r="K190" s="192" t="s">
        <v>8</v>
      </c>
      <c r="L190" s="192" t="s">
        <v>9</v>
      </c>
      <c r="M190" s="192" t="s">
        <v>55</v>
      </c>
      <c r="N190" s="251" t="s">
        <v>422</v>
      </c>
      <c r="O190" s="210" t="s">
        <v>7</v>
      </c>
      <c r="P190" s="210"/>
      <c r="Q190" s="210"/>
      <c r="R190" s="265"/>
      <c r="S190" s="193" t="s">
        <v>80</v>
      </c>
      <c r="T190" s="212">
        <v>1</v>
      </c>
      <c r="U190" s="215">
        <v>4274</v>
      </c>
      <c r="V190" s="278">
        <v>4144</v>
      </c>
      <c r="W190" s="278">
        <v>3885</v>
      </c>
      <c r="X190" s="278">
        <v>3652</v>
      </c>
      <c r="Y190" s="5"/>
      <c r="Z190" s="216">
        <f t="shared" si="11"/>
        <v>0</v>
      </c>
      <c r="AA190" s="255">
        <f t="shared" si="12"/>
        <v>0</v>
      </c>
      <c r="AB190" s="194"/>
      <c r="AC190" s="195"/>
      <c r="AD190" s="196"/>
      <c r="AE190" s="196"/>
      <c r="AF190" s="168"/>
    </row>
    <row r="191" spans="2:33" s="169" customFormat="1">
      <c r="B191" s="239"/>
      <c r="C191" s="167" t="s">
        <v>184</v>
      </c>
      <c r="D191" s="252"/>
      <c r="E191" s="252"/>
      <c r="F191" s="252"/>
      <c r="G191" s="252"/>
      <c r="H191" s="252">
        <v>338</v>
      </c>
      <c r="I191" s="192" t="s">
        <v>17</v>
      </c>
      <c r="J191" s="192" t="s">
        <v>443</v>
      </c>
      <c r="K191" s="192" t="s">
        <v>8</v>
      </c>
      <c r="L191" s="192" t="s">
        <v>9</v>
      </c>
      <c r="M191" s="192" t="s">
        <v>55</v>
      </c>
      <c r="N191" s="251" t="s">
        <v>422</v>
      </c>
      <c r="O191" s="210" t="s">
        <v>14</v>
      </c>
      <c r="P191" s="288"/>
      <c r="Q191" s="288"/>
      <c r="R191" s="265"/>
      <c r="S191" s="193" t="s">
        <v>80</v>
      </c>
      <c r="T191" s="212">
        <v>1</v>
      </c>
      <c r="U191" s="215">
        <v>4736</v>
      </c>
      <c r="V191" s="278">
        <v>4592</v>
      </c>
      <c r="W191" s="278">
        <v>4305</v>
      </c>
      <c r="X191" s="278">
        <v>4047</v>
      </c>
      <c r="Y191" s="5"/>
      <c r="Z191" s="216">
        <f t="shared" si="11"/>
        <v>0</v>
      </c>
      <c r="AA191" s="255">
        <f t="shared" si="12"/>
        <v>0</v>
      </c>
      <c r="AB191" s="194"/>
      <c r="AC191" s="195"/>
      <c r="AD191" s="196"/>
      <c r="AE191" s="196"/>
      <c r="AF191" s="168" t="str">
        <f>IF(Y191/T191=0,"",IF(MOD(Y191,T191)&gt;0,"ОШИБКА!!! неверная кратность на сорт",""))</f>
        <v/>
      </c>
    </row>
    <row r="192" spans="2:33" s="169" customFormat="1">
      <c r="B192" s="239"/>
      <c r="C192" s="167" t="s">
        <v>398</v>
      </c>
      <c r="D192" s="252">
        <v>0</v>
      </c>
      <c r="E192" s="252"/>
      <c r="F192" s="252"/>
      <c r="G192" s="252">
        <v>5</v>
      </c>
      <c r="H192" s="252">
        <v>92</v>
      </c>
      <c r="I192" s="192" t="s">
        <v>17</v>
      </c>
      <c r="J192" s="192" t="s">
        <v>443</v>
      </c>
      <c r="K192" s="192" t="s">
        <v>8</v>
      </c>
      <c r="L192" s="192" t="s">
        <v>9</v>
      </c>
      <c r="M192" s="192" t="s">
        <v>55</v>
      </c>
      <c r="N192" s="251" t="s">
        <v>422</v>
      </c>
      <c r="O192" s="210" t="s">
        <v>38</v>
      </c>
      <c r="P192" s="210"/>
      <c r="Q192" s="210"/>
      <c r="R192" s="265"/>
      <c r="S192" s="193" t="s">
        <v>80</v>
      </c>
      <c r="T192" s="212">
        <v>1</v>
      </c>
      <c r="U192" s="215">
        <v>4993</v>
      </c>
      <c r="V192" s="278">
        <v>4842</v>
      </c>
      <c r="W192" s="278">
        <v>4539</v>
      </c>
      <c r="X192" s="278">
        <v>4267</v>
      </c>
      <c r="Y192" s="5"/>
      <c r="Z192" s="216">
        <f t="shared" si="11"/>
        <v>0</v>
      </c>
      <c r="AA192" s="255">
        <f t="shared" si="12"/>
        <v>0</v>
      </c>
      <c r="AB192" s="194"/>
      <c r="AC192" s="195"/>
      <c r="AD192" s="196"/>
      <c r="AE192" s="196"/>
      <c r="AF192" s="168" t="str">
        <f>IF(Y192/T192=0,"",IF(MOD(Y192,T192)&gt;0,"ОШИБКА!!! неверная кратность на сорт",""))</f>
        <v/>
      </c>
    </row>
    <row r="193" spans="2:32" s="169" customFormat="1">
      <c r="B193" s="239"/>
      <c r="C193" s="167" t="s">
        <v>399</v>
      </c>
      <c r="D193" s="252">
        <v>0</v>
      </c>
      <c r="E193" s="252"/>
      <c r="F193" s="252"/>
      <c r="G193" s="252">
        <v>1</v>
      </c>
      <c r="H193" s="252"/>
      <c r="I193" s="192" t="s">
        <v>17</v>
      </c>
      <c r="J193" s="192" t="s">
        <v>443</v>
      </c>
      <c r="K193" s="192" t="s">
        <v>8</v>
      </c>
      <c r="L193" s="192" t="s">
        <v>9</v>
      </c>
      <c r="M193" s="192" t="s">
        <v>55</v>
      </c>
      <c r="N193" s="251" t="s">
        <v>422</v>
      </c>
      <c r="O193" s="210" t="s">
        <v>33</v>
      </c>
      <c r="P193" s="210"/>
      <c r="Q193" s="210"/>
      <c r="R193" s="265"/>
      <c r="S193" s="193" t="s">
        <v>80</v>
      </c>
      <c r="T193" s="212">
        <v>1</v>
      </c>
      <c r="U193" s="215">
        <v>5389</v>
      </c>
      <c r="V193" s="278">
        <v>5226</v>
      </c>
      <c r="W193" s="278">
        <v>4899</v>
      </c>
      <c r="X193" s="278">
        <v>4606</v>
      </c>
      <c r="Y193" s="5"/>
      <c r="Z193" s="216">
        <f t="shared" si="11"/>
        <v>0</v>
      </c>
      <c r="AA193" s="255">
        <f t="shared" si="12"/>
        <v>0</v>
      </c>
      <c r="AB193" s="194"/>
      <c r="AC193" s="195"/>
      <c r="AD193" s="196"/>
      <c r="AE193" s="196"/>
      <c r="AF193" s="168" t="str">
        <f>IF(Y193/T193=0,"",IF(MOD(Y193,T193)&gt;0,"ОШИБКА!!! неверная кратность на сорт",""))</f>
        <v/>
      </c>
    </row>
    <row r="194" spans="2:32" s="169" customFormat="1">
      <c r="B194" s="239"/>
      <c r="C194" s="167" t="s">
        <v>371</v>
      </c>
      <c r="D194" s="252"/>
      <c r="E194" s="252"/>
      <c r="F194" s="252"/>
      <c r="G194" s="252"/>
      <c r="H194" s="252"/>
      <c r="I194" s="192" t="s">
        <v>17</v>
      </c>
      <c r="J194" s="287" t="s">
        <v>443</v>
      </c>
      <c r="K194" s="287" t="s">
        <v>8</v>
      </c>
      <c r="L194" s="287" t="s">
        <v>9</v>
      </c>
      <c r="M194" s="287" t="s">
        <v>370</v>
      </c>
      <c r="N194" s="291" t="s">
        <v>422</v>
      </c>
      <c r="O194" s="288" t="s">
        <v>33</v>
      </c>
      <c r="P194" s="288"/>
      <c r="Q194" s="288"/>
      <c r="R194" s="265"/>
      <c r="S194" s="193" t="s">
        <v>80</v>
      </c>
      <c r="T194" s="212">
        <v>1</v>
      </c>
      <c r="U194" s="215">
        <v>2376</v>
      </c>
      <c r="V194" s="278">
        <v>2304</v>
      </c>
      <c r="W194" s="278">
        <v>2160</v>
      </c>
      <c r="X194" s="278">
        <v>2031</v>
      </c>
      <c r="Y194" s="5"/>
      <c r="Z194" s="216">
        <f t="shared" si="11"/>
        <v>0</v>
      </c>
      <c r="AA194" s="255">
        <f t="shared" si="12"/>
        <v>0</v>
      </c>
      <c r="AB194" s="194" t="s">
        <v>305</v>
      </c>
      <c r="AC194" s="195"/>
      <c r="AD194" s="196"/>
      <c r="AE194" s="196"/>
      <c r="AF194" s="168" t="str">
        <f>IF(Y194/T194=0,"",IF(MOD(Y194,T194)&gt;0,"ОШИБКА!!! неверная кратность на сорт",""))</f>
        <v/>
      </c>
    </row>
    <row r="195" spans="2:32" s="169" customFormat="1">
      <c r="B195" s="239"/>
      <c r="C195" s="167" t="s">
        <v>500</v>
      </c>
      <c r="D195" s="252"/>
      <c r="E195" s="252"/>
      <c r="F195" s="252"/>
      <c r="G195" s="252"/>
      <c r="H195" s="252">
        <v>1</v>
      </c>
      <c r="I195" s="192" t="s">
        <v>17</v>
      </c>
      <c r="J195" s="192" t="s">
        <v>443</v>
      </c>
      <c r="K195" s="192" t="s">
        <v>8</v>
      </c>
      <c r="L195" s="192" t="s">
        <v>9</v>
      </c>
      <c r="M195" s="192" t="s">
        <v>56</v>
      </c>
      <c r="N195" s="251" t="s">
        <v>422</v>
      </c>
      <c r="O195" s="288"/>
      <c r="P195" s="210" t="s">
        <v>14</v>
      </c>
      <c r="Q195" s="288"/>
      <c r="R195" s="265"/>
      <c r="S195" s="193" t="s">
        <v>80</v>
      </c>
      <c r="T195" s="212">
        <v>1</v>
      </c>
      <c r="U195" s="215">
        <v>5693</v>
      </c>
      <c r="V195" s="278">
        <v>5520</v>
      </c>
      <c r="W195" s="278">
        <v>5175</v>
      </c>
      <c r="X195" s="278">
        <v>4865</v>
      </c>
      <c r="Y195" s="5"/>
      <c r="Z195" s="216">
        <f t="shared" si="11"/>
        <v>0</v>
      </c>
      <c r="AA195" s="255">
        <f t="shared" si="12"/>
        <v>0</v>
      </c>
      <c r="AB195" s="194"/>
      <c r="AC195" s="195"/>
      <c r="AD195" s="196"/>
      <c r="AE195" s="196"/>
      <c r="AF195" s="168"/>
    </row>
    <row r="196" spans="2:32" s="169" customFormat="1">
      <c r="B196" s="239"/>
      <c r="C196" s="167" t="s">
        <v>185</v>
      </c>
      <c r="D196" s="252">
        <v>0</v>
      </c>
      <c r="E196" s="252"/>
      <c r="F196" s="252"/>
      <c r="G196" s="252">
        <v>2</v>
      </c>
      <c r="H196" s="252">
        <v>17</v>
      </c>
      <c r="I196" s="192" t="s">
        <v>17</v>
      </c>
      <c r="J196" s="192" t="s">
        <v>443</v>
      </c>
      <c r="K196" s="192" t="s">
        <v>8</v>
      </c>
      <c r="L196" s="192" t="s">
        <v>9</v>
      </c>
      <c r="M196" s="192" t="s">
        <v>56</v>
      </c>
      <c r="N196" s="251" t="s">
        <v>422</v>
      </c>
      <c r="O196" s="210"/>
      <c r="P196" s="210" t="s">
        <v>38</v>
      </c>
      <c r="Q196" s="210"/>
      <c r="R196" s="265"/>
      <c r="S196" s="193" t="s">
        <v>80</v>
      </c>
      <c r="T196" s="212">
        <v>1</v>
      </c>
      <c r="U196" s="215">
        <v>6323</v>
      </c>
      <c r="V196" s="278">
        <v>6132</v>
      </c>
      <c r="W196" s="278">
        <v>5748</v>
      </c>
      <c r="X196" s="278">
        <v>5404</v>
      </c>
      <c r="Y196" s="5"/>
      <c r="Z196" s="216">
        <f t="shared" si="11"/>
        <v>0</v>
      </c>
      <c r="AA196" s="255">
        <f t="shared" si="12"/>
        <v>0</v>
      </c>
      <c r="AB196" s="194"/>
      <c r="AC196" s="195"/>
      <c r="AD196" s="196"/>
      <c r="AE196" s="196"/>
      <c r="AF196" s="168" t="str">
        <f>IF(Y196/T196=0,"",IF(MOD(Y196,T196)&gt;0,"ОШИБКА!!! неверная кратность на сорт",""))</f>
        <v/>
      </c>
    </row>
    <row r="197" spans="2:32" s="169" customFormat="1">
      <c r="B197" s="239"/>
      <c r="C197" s="167" t="s">
        <v>400</v>
      </c>
      <c r="D197" s="252">
        <v>0</v>
      </c>
      <c r="E197" s="252"/>
      <c r="F197" s="252"/>
      <c r="G197" s="252">
        <v>2</v>
      </c>
      <c r="H197" s="252">
        <v>26</v>
      </c>
      <c r="I197" s="192" t="s">
        <v>17</v>
      </c>
      <c r="J197" s="192" t="s">
        <v>443</v>
      </c>
      <c r="K197" s="192" t="s">
        <v>8</v>
      </c>
      <c r="L197" s="192" t="s">
        <v>9</v>
      </c>
      <c r="M197" s="192" t="s">
        <v>56</v>
      </c>
      <c r="N197" s="251" t="s">
        <v>422</v>
      </c>
      <c r="O197" s="210"/>
      <c r="P197" s="210" t="s">
        <v>33</v>
      </c>
      <c r="Q197" s="210"/>
      <c r="R197" s="265"/>
      <c r="S197" s="193" t="s">
        <v>80</v>
      </c>
      <c r="T197" s="212">
        <v>1</v>
      </c>
      <c r="U197" s="215">
        <v>6534</v>
      </c>
      <c r="V197" s="278">
        <v>6336</v>
      </c>
      <c r="W197" s="278">
        <v>5940</v>
      </c>
      <c r="X197" s="278">
        <v>5584</v>
      </c>
      <c r="Y197" s="5"/>
      <c r="Z197" s="216">
        <f t="shared" si="11"/>
        <v>0</v>
      </c>
      <c r="AA197" s="255">
        <f t="shared" si="12"/>
        <v>0</v>
      </c>
      <c r="AB197" s="194"/>
      <c r="AC197" s="195"/>
      <c r="AD197" s="196"/>
      <c r="AE197" s="196"/>
      <c r="AF197" s="168" t="str">
        <f>IF(Y197/T197=0,"",IF(MOD(Y197,T197)&gt;0,"ОШИБКА!!! неверная кратность на сорт",""))</f>
        <v/>
      </c>
    </row>
    <row r="198" spans="2:32" s="169" customFormat="1">
      <c r="B198" s="239"/>
      <c r="C198" s="167" t="s">
        <v>501</v>
      </c>
      <c r="D198" s="252"/>
      <c r="E198" s="252"/>
      <c r="F198" s="252"/>
      <c r="G198" s="252"/>
      <c r="H198" s="252">
        <v>112</v>
      </c>
      <c r="I198" s="192" t="s">
        <v>17</v>
      </c>
      <c r="J198" s="192" t="s">
        <v>443</v>
      </c>
      <c r="K198" s="192" t="s">
        <v>8</v>
      </c>
      <c r="L198" s="192" t="s">
        <v>9</v>
      </c>
      <c r="M198" s="192" t="s">
        <v>56</v>
      </c>
      <c r="N198" s="251" t="s">
        <v>422</v>
      </c>
      <c r="O198" s="210"/>
      <c r="P198" s="210" t="s">
        <v>35</v>
      </c>
      <c r="Q198" s="210"/>
      <c r="R198" s="265"/>
      <c r="S198" s="193" t="s">
        <v>80</v>
      </c>
      <c r="T198" s="212">
        <v>1</v>
      </c>
      <c r="U198" s="215">
        <v>6930</v>
      </c>
      <c r="V198" s="278">
        <v>6720</v>
      </c>
      <c r="W198" s="278">
        <v>6300</v>
      </c>
      <c r="X198" s="278">
        <v>5922</v>
      </c>
      <c r="Y198" s="5"/>
      <c r="Z198" s="216">
        <f t="shared" si="11"/>
        <v>0</v>
      </c>
      <c r="AA198" s="255">
        <f t="shared" si="12"/>
        <v>0</v>
      </c>
      <c r="AB198" s="194"/>
      <c r="AC198" s="195"/>
      <c r="AD198" s="196"/>
      <c r="AE198" s="196"/>
      <c r="AF198" s="168"/>
    </row>
    <row r="199" spans="2:32">
      <c r="E199" s="208"/>
      <c r="F199" s="208"/>
      <c r="G199" s="208"/>
      <c r="H199" s="208"/>
    </row>
    <row r="200" spans="2:32" ht="19.8">
      <c r="M200" s="271" t="s">
        <v>434</v>
      </c>
    </row>
    <row r="202" spans="2:32" ht="15.6">
      <c r="M202" s="272" t="s">
        <v>435</v>
      </c>
    </row>
    <row r="203" spans="2:32" ht="15.6">
      <c r="M203" s="273" t="s">
        <v>436</v>
      </c>
    </row>
    <row r="204" spans="2:32" ht="15.6">
      <c r="M204" s="273" t="s">
        <v>437</v>
      </c>
    </row>
  </sheetData>
  <autoFilter ref="B20:AF198" xr:uid="{893A02BB-BF00-4322-84B3-00D48ABF4771}"/>
  <mergeCells count="6">
    <mergeCell ref="E19:F19"/>
    <mergeCell ref="V1:W4"/>
    <mergeCell ref="U15:V15"/>
    <mergeCell ref="U16:V16"/>
    <mergeCell ref="N16:R16"/>
    <mergeCell ref="M4:T4"/>
  </mergeCells>
  <phoneticPr fontId="43" type="noConversion"/>
  <conditionalFormatting sqref="C1:C1048576">
    <cfRule type="duplicateValues" dxfId="4" priority="437"/>
  </conditionalFormatting>
  <conditionalFormatting sqref="C22:C198">
    <cfRule type="duplicateValues" dxfId="3" priority="436"/>
  </conditionalFormatting>
  <conditionalFormatting sqref="C199:C1048576 C1:C21">
    <cfRule type="duplicateValues" dxfId="2" priority="92"/>
  </conditionalFormatting>
  <conditionalFormatting sqref="R18">
    <cfRule type="containsText" dxfId="1" priority="402" operator="containsText" text="нет">
      <formula>NOT(ISERROR(SEARCH("нет",R18)))</formula>
    </cfRule>
    <cfRule type="iconSet" priority="403">
      <iconSet iconSet="3Symbols">
        <cfvo type="percent" val="0"/>
        <cfvo type="percent" val="33"/>
        <cfvo type="percent" val="67"/>
      </iconSet>
    </cfRule>
  </conditionalFormatting>
  <conditionalFormatting sqref="Y22:Y198">
    <cfRule type="cellIs" dxfId="0" priority="91" operator="between">
      <formula>1</formula>
      <formula>4</formula>
    </cfRule>
  </conditionalFormatting>
  <dataValidations count="1">
    <dataValidation type="list" allowBlank="1" showInputMessage="1" showErrorMessage="1" sqref="R18" xr:uid="{505A7ED7-1746-4286-B96C-0580B02FC49F}">
      <formula1>"да,нет"</formula1>
    </dataValidation>
  </dataValidations>
  <hyperlinks>
    <hyperlink ref="N16" location="'Условия работы'!A1" display="&gt;&gt;&gt; Условия работы &lt;&lt;&lt;" xr:uid="{1F645AD0-249C-4518-B21C-CA287EE08698}"/>
    <hyperlink ref="U18:V18" location="Калькулятор!A1" display="Перейти в калькулятор" xr:uid="{6A23A1A0-FF34-4359-AB4D-D933A9F011FC}"/>
    <hyperlink ref="M200" r:id="rId1" xr:uid="{A0C3FA98-73C3-496B-927B-FEB1F8732FE6}"/>
  </hyperlinks>
  <pageMargins left="0.7" right="0.7" top="0.75" bottom="0.75" header="0.3" footer="0.3"/>
  <pageSetup paperSize="9" orientation="portrait" r:id="rId2"/>
  <ignoredErrors>
    <ignoredError sqref="T16 AA16" unlockedFormula="1"/>
  </ignoredError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Условия работы</vt:lpstr>
      <vt:lpstr>Калькулятор</vt:lpstr>
      <vt:lpstr>Предзаказ_осень2026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Титкова Виктория</dc:creator>
  <cp:lastModifiedBy>Admin</cp:lastModifiedBy>
  <dcterms:created xsi:type="dcterms:W3CDTF">2025-10-30T07:16:33Z</dcterms:created>
  <dcterms:modified xsi:type="dcterms:W3CDTF">2026-08-11T13:07:53Z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1987168270</vt:i4>
  </property>
  <property fmtid="{D5CDD505-2E9C-101B-9397-08002B2CF9AE}" pid="3" name="_NewReviewCycle">
    <vt:lpwstr/>
  </property>
  <property fmtid="{D5CDD505-2E9C-101B-9397-08002B2CF9AE}" pid="4" name="_EmailSubject">
    <vt:lpwstr>Прошу проверить</vt:lpwstr>
  </property>
  <property fmtid="{D5CDD505-2E9C-101B-9397-08002B2CF9AE}" pid="5" name="_AuthorEmail">
    <vt:lpwstr>info@sadovaypalitra.ru</vt:lpwstr>
  </property>
  <property fmtid="{D5CDD505-2E9C-101B-9397-08002B2CF9AE}" pid="6" name="_AuthorEmailDisplayName">
    <vt:lpwstr>info@sadovaypalitra.ru</vt:lpwstr>
  </property>
  <property fmtid="{D5CDD505-2E9C-101B-9397-08002B2CF9AE}" pid="7" name="_ReviewingToolsShownOnce">
    <vt:lpwstr/>
  </property>
</Properties>
</file>